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a\Desktop\DAFEFI\LEY DE DISCIPLINA\2019\3ER TRIMESTRE\LDF 3ER TRIMESTRE PUBLICAR\"/>
    </mc:Choice>
  </mc:AlternateContent>
  <bookViews>
    <workbookView xWindow="-120" yWindow="-120" windowWidth="20730" windowHeight="11760"/>
  </bookViews>
  <sheets>
    <sheet name="Analítico de Ingresos " sheetId="1" r:id="rId1"/>
    <sheet name="BExRepositorySheet" sheetId="3" state="veryHidden" r:id="rId2"/>
    <sheet name="fuente1" sheetId="2" state="hidden" r:id="rId3"/>
  </sheets>
  <externalReferences>
    <externalReference r:id="rId4"/>
  </externalReferences>
  <definedNames>
    <definedName name="_xlnm.Print_Titles" localSheetId="0">'Analítico de Ingresos '!$3:$10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2" l="1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0" i="2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F4" i="2"/>
  <c r="E4" i="2"/>
  <c r="D4" i="2"/>
  <c r="C4" i="2"/>
  <c r="B4" i="2"/>
  <c r="A4" i="2"/>
  <c r="G3" i="2"/>
  <c r="F3" i="2"/>
  <c r="E3" i="2"/>
  <c r="D3" i="2"/>
  <c r="C3" i="2"/>
  <c r="B3" i="2"/>
  <c r="A3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<sst xmlns="http://schemas.openxmlformats.org/spreadsheetml/2006/main" count="84" uniqueCount="84">
  <si>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</si>
  <si>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</si>
  <si>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</si>
  <si>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</si>
  <si>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</si>
  <si>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</si>
  <si>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</si>
  <si>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</si>
  <si>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</si>
  <si>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</si>
  <si>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</si>
  <si>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</si>
  <si>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</si>
  <si>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</si>
  <si>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</si>
  <si>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</si>
  <si>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</si>
  <si>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</si>
  <si>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</si>
  <si>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</si>
  <si>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</si>
  <si>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</si>
  <si>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</si>
  <si>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</si>
  <si>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</si>
  <si>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</si>
  <si>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</si>
  <si>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</si>
  <si>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</si>
  <si>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</si>
  <si>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</si>
  <si>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</si>
  <si>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</si>
  <si>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</si>
  <si>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</si>
  <si>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</si>
  <si>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</si>
  <si>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</si>
  <si>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</si>
  <si>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</si>
  <si>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</si>
  <si>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</si>
  <si>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</si>
  <si>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</si>
  <si>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</si>
  <si>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</si>
  <si>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</si>
  <si>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</si>
  <si>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</si>
  <si>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</si>
  <si>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</si>
  <si>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</si>
  <si>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</si>
  <si>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</si>
  <si>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</si>
  <si>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</si>
  <si>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</si>
  <si>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</si>
  <si>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</si>
  <si>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</si>
  <si>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</si>
  <si>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</si>
  <si>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</si>
  <si>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</si>
  <si>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</si>
  <si>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</si>
  <si>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</si>
  <si>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</si>
  <si>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</si>
  <si>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</si>
  <si>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</si>
  <si>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</si>
  <si>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</si>
  <si>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</si>
  <si>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</si>
  <si>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GOBIERNO DEL ESTADO DE MICHOACÁN DE OCAMPO</t>
  </si>
  <si>
    <t>29/10/2019</t>
  </si>
  <si>
    <t>001.2019..009.2019</t>
  </si>
  <si>
    <t>2019</t>
  </si>
  <si>
    <t>001</t>
  </si>
  <si>
    <t>009</t>
  </si>
  <si>
    <t>Enero</t>
  </si>
  <si>
    <t>Septiembre</t>
  </si>
  <si>
    <t>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</si>
</sst>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3" x14ac:knownFonts="1">
    <font>
      <sz val="10"/>
      <name val="Arial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8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9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4" fillId="8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15" applyNumberFormat="0" applyAlignment="0" applyProtection="0"/>
    <xf numFmtId="0" fontId="16" fillId="5" borderId="20" applyNumberFormat="0" applyAlignment="0" applyProtection="0"/>
    <xf numFmtId="0" fontId="8" fillId="5" borderId="15" applyNumberFormat="0" applyAlignment="0" applyProtection="0"/>
    <xf numFmtId="0" fontId="10" fillId="0" borderId="17" applyNumberFormat="0" applyFill="0" applyAlignment="0" applyProtection="0"/>
    <xf numFmtId="0" fontId="9" fillId="6" borderId="16" applyNumberFormat="0" applyAlignment="0" applyProtection="0"/>
    <xf numFmtId="0" fontId="26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6" applyNumberFormat="0" applyFill="0" applyAlignment="0" applyProtection="0"/>
    <xf numFmtId="4" fontId="17" fillId="10" borderId="21" applyNumberFormat="0" applyProtection="0">
      <alignment vertical="center"/>
    </xf>
    <xf numFmtId="4" fontId="18" fillId="10" borderId="21" applyNumberFormat="0" applyProtection="0">
      <alignment vertical="center"/>
    </xf>
    <xf numFmtId="4" fontId="17" fillId="10" borderId="21" applyNumberFormat="0" applyProtection="0">
      <alignment horizontal="left" vertical="center" indent="1"/>
    </xf>
    <xf numFmtId="0" fontId="17" fillId="10" borderId="21" applyNumberFormat="0" applyProtection="0">
      <alignment horizontal="left" vertical="top" indent="1"/>
    </xf>
    <xf numFmtId="4" fontId="17" fillId="11" borderId="0" applyNumberFormat="0" applyProtection="0">
      <alignment horizontal="left" vertical="center" indent="1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9" fillId="19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21" borderId="22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19" fillId="11" borderId="21" applyNumberFormat="0" applyProtection="0">
      <alignment horizontal="right" vertical="center"/>
    </xf>
    <xf numFmtId="4" fontId="21" fillId="22" borderId="0" applyNumberFormat="0" applyProtection="0">
      <alignment horizontal="left" vertical="center" indent="1"/>
    </xf>
    <xf numFmtId="4" fontId="21" fillId="11" borderId="0" applyNumberFormat="0" applyProtection="0">
      <alignment horizontal="left" vertical="center" indent="1"/>
    </xf>
    <xf numFmtId="0" fontId="6" fillId="23" borderId="21" applyNumberFormat="0" applyProtection="0">
      <alignment horizontal="left" vertical="center" indent="1"/>
    </xf>
    <xf numFmtId="0" fontId="6" fillId="23" borderId="21" applyNumberFormat="0" applyProtection="0">
      <alignment horizontal="left" vertical="top" indent="1"/>
    </xf>
    <xf numFmtId="0" fontId="6" fillId="11" borderId="21" applyNumberFormat="0" applyProtection="0">
      <alignment horizontal="left" vertical="center" indent="1"/>
    </xf>
    <xf numFmtId="0" fontId="6" fillId="11" borderId="21" applyNumberFormat="0" applyProtection="0">
      <alignment horizontal="left" vertical="top" indent="1"/>
    </xf>
    <xf numFmtId="0" fontId="6" fillId="24" borderId="21" applyNumberFormat="0" applyProtection="0">
      <alignment horizontal="left" vertical="center" indent="1"/>
    </xf>
    <xf numFmtId="0" fontId="6" fillId="24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5" borderId="23" applyNumberFormat="0">
      <protection locked="0"/>
    </xf>
    <xf numFmtId="4" fontId="19" fillId="26" borderId="21" applyNumberFormat="0" applyProtection="0">
      <alignment vertical="center"/>
    </xf>
    <xf numFmtId="4" fontId="22" fillId="26" borderId="21" applyNumberFormat="0" applyProtection="0">
      <alignment vertical="center"/>
    </xf>
    <xf numFmtId="4" fontId="19" fillId="26" borderId="21" applyNumberFormat="0" applyProtection="0">
      <alignment horizontal="left" vertical="center" indent="1"/>
    </xf>
    <xf numFmtId="0" fontId="19" fillId="26" borderId="21" applyNumberFormat="0" applyProtection="0">
      <alignment horizontal="left" vertical="top" indent="1"/>
    </xf>
    <xf numFmtId="4" fontId="19" fillId="22" borderId="21" applyNumberFormat="0" applyProtection="0">
      <alignment horizontal="right" vertical="center"/>
    </xf>
    <xf numFmtId="4" fontId="22" fillId="22" borderId="21" applyNumberFormat="0" applyProtection="0">
      <alignment horizontal="right" vertical="center"/>
    </xf>
    <xf numFmtId="4" fontId="19" fillId="11" borderId="21" applyNumberFormat="0" applyProtection="0">
      <alignment horizontal="left" vertical="center" indent="1"/>
    </xf>
    <xf numFmtId="0" fontId="19" fillId="11" borderId="21" applyNumberFormat="0" applyProtection="0">
      <alignment horizontal="left" vertical="top" indent="1"/>
    </xf>
    <xf numFmtId="4" fontId="23" fillId="27" borderId="0" applyNumberFormat="0" applyProtection="0">
      <alignment horizontal="left" vertical="center" indent="1"/>
    </xf>
    <xf numFmtId="4" fontId="24" fillId="22" borderId="2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</cellStyleXfs>
  <cellXfs count="85">
    <xf numFmtId="0" fontId="0" fillId="0" borderId="0" xfId="0"/>
    <xf numFmtId="0" fontId="0" fillId="0" borderId="0" xfId="0" quotePrefix="1" applyAlignment="1"/>
    <xf numFmtId="14" fontId="0" fillId="0" borderId="0" xfId="0" applyNumberForma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/>
    <xf numFmtId="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0" fontId="31" fillId="0" borderId="0" xfId="0" quotePrefix="1" applyFont="1" applyAlignment="1"/>
    <xf numFmtId="0" fontId="31" fillId="0" borderId="0" xfId="0" applyFont="1"/>
    <xf numFmtId="2" fontId="31" fillId="0" borderId="0" xfId="0" applyNumberFormat="1" applyFont="1"/>
    <xf numFmtId="14" fontId="31" fillId="0" borderId="0" xfId="0" applyNumberFormat="1" applyFont="1"/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7" fillId="11" borderId="0" xfId="22" applyNumberFormat="1">
      <alignment horizontal="left" vertical="center" indent="1"/>
    </xf>
    <xf numFmtId="0" fontId="19" fillId="11" borderId="21" xfId="53" applyNumberFormat="1">
      <alignment horizontal="left" vertical="center" indent="1"/>
    </xf>
    <xf numFmtId="0" fontId="19" fillId="22" borderId="21" xfId="51" applyNumberForma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164" fontId="32" fillId="0" borderId="13" xfId="58" applyNumberFormat="1" applyFont="1" applyBorder="1"/>
    <xf numFmtId="164" fontId="3" fillId="28" borderId="5" xfId="0" applyNumberFormat="1" applyFont="1" applyFill="1" applyBorder="1" applyAlignment="1">
      <alignment horizontal="right" vertical="center"/>
    </xf>
    <xf numFmtId="164" fontId="3" fillId="28" borderId="1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58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225425</xdr:colOff>
      <xdr:row>0</xdr:row>
      <xdr:rowOff>0</xdr:rowOff>
    </xdr:to>
    <xdr:pic macro="[1]!DesignIconClicked">
      <xdr:nvPicPr>
        <xdr:cNvPr id="2" name="BExCVWWOZII8NFIAT3E7QFX50E4E" hidden="1">
          <a:extLst>
            <a:ext uri="{FF2B5EF4-FFF2-40B4-BE49-F238E27FC236}">
              <a16:creationId xmlns="" xmlns:a16="http://schemas.microsoft.com/office/drawing/2014/main" id="{2C8CA6C6-189F-4153-B04E-13EA82E22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4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796925</xdr:colOff>
      <xdr:row>0</xdr:row>
      <xdr:rowOff>0</xdr:rowOff>
    </xdr:to>
    <xdr:pic macro="[1]!DesignIconClicked">
      <xdr:nvPicPr>
        <xdr:cNvPr id="4" name="BEx59DDKP08ZY4DO542GJNZMN9BC" hidden="1">
          <a:extLst>
            <a:ext uri="{FF2B5EF4-FFF2-40B4-BE49-F238E27FC236}">
              <a16:creationId xmlns="" xmlns:a16="http://schemas.microsoft.com/office/drawing/2014/main" id="{E72E9CD5-BAF1-4B00-A156-D26A49253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79692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225425</xdr:colOff>
      <xdr:row>0</xdr:row>
      <xdr:rowOff>0</xdr:rowOff>
    </xdr:to>
    <xdr:pic macro="[1]!DesignIconClicked">
      <xdr:nvPicPr>
        <xdr:cNvPr id="6" name="BExOQEFL7NUGC9MVU27MEC0VR1SL" hidden="1">
          <a:extLst>
            <a:ext uri="{FF2B5EF4-FFF2-40B4-BE49-F238E27FC236}">
              <a16:creationId xmlns="" xmlns:a16="http://schemas.microsoft.com/office/drawing/2014/main" id="{5D99D34A-44F4-4294-9193-A5E1920FE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4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139700</xdr:colOff>
      <xdr:row>0</xdr:row>
      <xdr:rowOff>0</xdr:rowOff>
    </xdr:to>
    <xdr:pic macro="[1]!DesignIconClicked">
      <xdr:nvPicPr>
        <xdr:cNvPr id="8" name="BEx9D27UZ1XLQBXM34D9LXTETXCV" hidden="1">
          <a:extLst>
            <a:ext uri="{FF2B5EF4-FFF2-40B4-BE49-F238E27FC236}">
              <a16:creationId xmlns="" xmlns:a16="http://schemas.microsoft.com/office/drawing/2014/main" id="{1F393D53-93DD-48B6-9739-488E5B2D5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1397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6</xdr:col>
      <xdr:colOff>1185069</xdr:colOff>
      <xdr:row>63</xdr:row>
      <xdr:rowOff>11112</xdr:rowOff>
    </xdr:to>
    <xdr:pic macro="[1]!DesignIconClicked">
      <xdr:nvPicPr>
        <xdr:cNvPr id="3" name="BExOF6FM5FCD383BELOMBXGIQ5I8" hidden="1">
          <a:extLst>
            <a:ext uri="{FF2B5EF4-FFF2-40B4-BE49-F238E27FC236}">
              <a16:creationId xmlns="" xmlns:a16="http://schemas.microsoft.com/office/drawing/2014/main" id="{EA2D6F34-1676-4A76-A39D-7F0FC0078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2055475" cy="10350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tabSelected="1" zoomScale="80" zoomScaleNormal="80" workbookViewId="0">
      <pane ySplit="10" topLeftCell="A11" activePane="bottomLeft" state="frozen"/>
      <selection activeCell="A2" sqref="A2"/>
      <selection pane="bottomLeft" activeCell="A2" sqref="A2"/>
    </sheetView>
  </sheetViews>
  <sheetFormatPr baseColWidth="10" defaultColWidth="11.42578125" defaultRowHeight="12.75" x14ac:dyDescent="0.2"/>
  <cols>
    <col min="1" max="1" width="3.5703125" customWidth="1"/>
    <col min="2" max="2" width="1.85546875" customWidth="1"/>
    <col min="3" max="3" width="2.28515625" customWidth="1"/>
    <col min="4" max="4" width="74" customWidth="1"/>
    <col min="5" max="5" width="18.140625" customWidth="1"/>
    <col min="6" max="6" width="16.42578125" customWidth="1"/>
    <col min="7" max="7" width="19.140625" customWidth="1"/>
    <col min="8" max="8" width="18" style="12" customWidth="1"/>
    <col min="9" max="9" width="18.5703125" customWidth="1"/>
    <col min="10" max="10" width="19" customWidth="1"/>
  </cols>
  <sheetData>
    <row r="1" spans="1:12" s="15" customFormat="1" hidden="1" x14ac:dyDescent="0.2">
      <c r="A1" s="14" t="s">
        <v>77</v>
      </c>
      <c r="B1" s="14"/>
      <c r="C1" s="14" t="s">
        <v>76</v>
      </c>
      <c r="D1" s="15" t="s">
        <v>78</v>
      </c>
      <c r="E1" s="15" t="s">
        <v>79</v>
      </c>
      <c r="F1" s="15" t="s">
        <v>80</v>
      </c>
      <c r="G1" s="15" t="s">
        <v>81</v>
      </c>
      <c r="H1" s="16" t="s">
        <v>82</v>
      </c>
      <c r="L1" s="17"/>
    </row>
    <row r="2" spans="1:12" ht="13.5" thickBot="1" x14ac:dyDescent="0.25">
      <c r="A2" s="1"/>
      <c r="B2" s="1"/>
      <c r="L2" s="2"/>
    </row>
    <row r="3" spans="1:12" ht="20.25" x14ac:dyDescent="0.2">
      <c r="B3" s="67" t="s">
        <v>75</v>
      </c>
      <c r="C3" s="68"/>
      <c r="D3" s="68"/>
      <c r="E3" s="68"/>
      <c r="F3" s="68"/>
      <c r="G3" s="68"/>
      <c r="H3" s="68"/>
      <c r="I3" s="68"/>
      <c r="J3" s="69"/>
    </row>
    <row r="4" spans="1:12" ht="21" x14ac:dyDescent="0.35">
      <c r="B4" s="70" t="s">
        <v>0</v>
      </c>
      <c r="C4" s="71"/>
      <c r="D4" s="71"/>
      <c r="E4" s="71"/>
      <c r="F4" s="71"/>
      <c r="G4" s="71"/>
      <c r="H4" s="71"/>
      <c r="I4" s="71"/>
      <c r="J4" s="72"/>
    </row>
    <row r="5" spans="1:12" x14ac:dyDescent="0.2">
      <c r="B5" s="64" t="s">
        <v>83</v>
      </c>
      <c r="C5" s="65"/>
      <c r="D5" s="65"/>
      <c r="E5" s="65"/>
      <c r="F5" s="65"/>
      <c r="G5" s="65"/>
      <c r="H5" s="65"/>
      <c r="I5" s="65"/>
      <c r="J5" s="66"/>
    </row>
    <row r="6" spans="1:12" x14ac:dyDescent="0.2">
      <c r="B6" s="25"/>
      <c r="C6" s="26"/>
      <c r="D6" s="26"/>
      <c r="E6" s="26"/>
      <c r="F6" s="26"/>
      <c r="G6" s="26"/>
      <c r="H6" s="26"/>
      <c r="I6" s="26"/>
      <c r="J6" s="27"/>
    </row>
    <row r="7" spans="1:12" ht="13.5" thickBot="1" x14ac:dyDescent="0.25">
      <c r="B7" s="73" t="s">
        <v>1</v>
      </c>
      <c r="C7" s="74"/>
      <c r="D7" s="74"/>
      <c r="E7" s="74"/>
      <c r="F7" s="74"/>
      <c r="G7" s="74"/>
      <c r="H7" s="74"/>
      <c r="I7" s="74"/>
      <c r="J7" s="75"/>
    </row>
    <row r="8" spans="1:12" ht="13.5" thickBot="1" x14ac:dyDescent="0.25">
      <c r="B8" s="61" t="s">
        <v>4</v>
      </c>
      <c r="C8" s="62"/>
      <c r="D8" s="63"/>
      <c r="E8" s="76" t="s">
        <v>2</v>
      </c>
      <c r="F8" s="77"/>
      <c r="G8" s="77"/>
      <c r="H8" s="77"/>
      <c r="I8" s="78"/>
      <c r="J8" s="51" t="s">
        <v>3</v>
      </c>
    </row>
    <row r="9" spans="1:12" x14ac:dyDescent="0.2">
      <c r="B9" s="64"/>
      <c r="C9" s="65"/>
      <c r="D9" s="66"/>
      <c r="E9" s="51" t="s">
        <v>5</v>
      </c>
      <c r="F9" s="80" t="s">
        <v>6</v>
      </c>
      <c r="G9" s="51" t="s">
        <v>7</v>
      </c>
      <c r="H9" s="53" t="s">
        <v>8</v>
      </c>
      <c r="I9" s="51" t="s">
        <v>9</v>
      </c>
      <c r="J9" s="79"/>
    </row>
    <row r="10" spans="1:12" ht="13.5" thickBot="1" x14ac:dyDescent="0.25">
      <c r="B10" s="55" t="s">
        <v>10</v>
      </c>
      <c r="C10" s="56"/>
      <c r="D10" s="57"/>
      <c r="E10" s="52"/>
      <c r="F10" s="81"/>
      <c r="G10" s="52"/>
      <c r="H10" s="54"/>
      <c r="I10" s="52"/>
      <c r="J10" s="52"/>
    </row>
    <row r="11" spans="1:12" x14ac:dyDescent="0.2">
      <c r="B11" s="58"/>
      <c r="C11" s="59"/>
      <c r="D11" s="60"/>
      <c r="E11" s="3"/>
      <c r="F11" s="19"/>
      <c r="G11" s="20"/>
      <c r="H11" s="21"/>
      <c r="I11" s="20"/>
      <c r="J11" s="20"/>
    </row>
    <row r="12" spans="1:12" x14ac:dyDescent="0.2">
      <c r="B12" s="49" t="s">
        <v>11</v>
      </c>
      <c r="C12" s="39"/>
      <c r="D12" s="40"/>
      <c r="E12" s="32"/>
      <c r="F12" s="33"/>
      <c r="G12" s="32"/>
      <c r="H12" s="32"/>
      <c r="I12" s="32"/>
      <c r="J12" s="32"/>
    </row>
    <row r="13" spans="1:12" x14ac:dyDescent="0.2">
      <c r="B13" s="4"/>
      <c r="C13" s="45" t="s">
        <v>12</v>
      </c>
      <c r="D13" s="46"/>
      <c r="E13" s="34">
        <v>1813286944</v>
      </c>
      <c r="F13" s="35">
        <v>0</v>
      </c>
      <c r="G13" s="34">
        <v>1813286944</v>
      </c>
      <c r="H13" s="34">
        <v>1343170391</v>
      </c>
      <c r="I13" s="34">
        <v>1343170391</v>
      </c>
      <c r="J13" s="34">
        <v>-470116553</v>
      </c>
    </row>
    <row r="14" spans="1:12" x14ac:dyDescent="0.2">
      <c r="B14" s="4"/>
      <c r="C14" s="45" t="s">
        <v>13</v>
      </c>
      <c r="D14" s="46"/>
      <c r="E14" s="34">
        <v>0</v>
      </c>
      <c r="F14" s="35">
        <v>0</v>
      </c>
      <c r="G14" s="34">
        <v>0</v>
      </c>
      <c r="H14" s="34">
        <v>0</v>
      </c>
      <c r="I14" s="34">
        <v>0</v>
      </c>
      <c r="J14" s="34">
        <v>0</v>
      </c>
    </row>
    <row r="15" spans="1:12" x14ac:dyDescent="0.2">
      <c r="B15" s="4"/>
      <c r="C15" s="45" t="s">
        <v>14</v>
      </c>
      <c r="D15" s="46"/>
      <c r="E15" s="34">
        <v>0</v>
      </c>
      <c r="F15" s="35">
        <v>21282288</v>
      </c>
      <c r="G15" s="34">
        <v>21282288</v>
      </c>
      <c r="H15" s="34">
        <v>21206355</v>
      </c>
      <c r="I15" s="34">
        <v>21206355</v>
      </c>
      <c r="J15" s="34">
        <v>21206355</v>
      </c>
    </row>
    <row r="16" spans="1:12" x14ac:dyDescent="0.2">
      <c r="B16" s="4"/>
      <c r="C16" s="45" t="s">
        <v>15</v>
      </c>
      <c r="D16" s="46"/>
      <c r="E16" s="34">
        <v>2296596622</v>
      </c>
      <c r="F16" s="35">
        <v>0</v>
      </c>
      <c r="G16" s="34">
        <v>2296596622</v>
      </c>
      <c r="H16" s="34">
        <v>1581622397</v>
      </c>
      <c r="I16" s="34">
        <v>1581622397</v>
      </c>
      <c r="J16" s="34">
        <v>-714974225</v>
      </c>
    </row>
    <row r="17" spans="2:10" x14ac:dyDescent="0.2">
      <c r="B17" s="4"/>
      <c r="C17" s="45" t="s">
        <v>16</v>
      </c>
      <c r="D17" s="46"/>
      <c r="E17" s="34">
        <v>33679107</v>
      </c>
      <c r="F17" s="35">
        <v>19547125</v>
      </c>
      <c r="G17" s="34">
        <v>53226232</v>
      </c>
      <c r="H17" s="34">
        <v>186841979</v>
      </c>
      <c r="I17" s="34">
        <v>186841979</v>
      </c>
      <c r="J17" s="34">
        <v>153162872</v>
      </c>
    </row>
    <row r="18" spans="2:10" x14ac:dyDescent="0.2">
      <c r="B18" s="4"/>
      <c r="C18" s="45" t="s">
        <v>17</v>
      </c>
      <c r="D18" s="46"/>
      <c r="E18" s="34">
        <v>34730971</v>
      </c>
      <c r="F18" s="35">
        <v>150527328</v>
      </c>
      <c r="G18" s="34">
        <v>185258299</v>
      </c>
      <c r="H18" s="34">
        <v>246891929</v>
      </c>
      <c r="I18" s="34">
        <v>246891929</v>
      </c>
      <c r="J18" s="34">
        <v>212160958</v>
      </c>
    </row>
    <row r="19" spans="2:10" x14ac:dyDescent="0.2">
      <c r="B19" s="4"/>
      <c r="C19" s="45" t="s">
        <v>18</v>
      </c>
      <c r="D19" s="46"/>
      <c r="E19" s="34">
        <v>111962850</v>
      </c>
      <c r="F19" s="35">
        <v>0</v>
      </c>
      <c r="G19" s="34">
        <v>111962850</v>
      </c>
      <c r="H19" s="34">
        <v>62410335</v>
      </c>
      <c r="I19" s="34">
        <v>62410335</v>
      </c>
      <c r="J19" s="34">
        <v>-49552515</v>
      </c>
    </row>
    <row r="20" spans="2:10" x14ac:dyDescent="0.2">
      <c r="B20" s="50"/>
      <c r="C20" s="39" t="s">
        <v>19</v>
      </c>
      <c r="D20" s="40"/>
      <c r="E20" s="82">
        <v>26262616369</v>
      </c>
      <c r="F20" s="83">
        <v>1673923569</v>
      </c>
      <c r="G20" s="82">
        <v>27936539938</v>
      </c>
      <c r="H20" s="82">
        <v>21725471466</v>
      </c>
      <c r="I20" s="82">
        <v>21725471466</v>
      </c>
      <c r="J20" s="82">
        <v>-4537144903</v>
      </c>
    </row>
    <row r="21" spans="2:10" x14ac:dyDescent="0.2">
      <c r="B21" s="50"/>
      <c r="C21" s="45" t="s">
        <v>20</v>
      </c>
      <c r="D21" s="46"/>
      <c r="E21" s="34"/>
      <c r="F21" s="35"/>
      <c r="G21" s="34"/>
      <c r="H21" s="34"/>
      <c r="I21" s="34"/>
      <c r="J21" s="34"/>
    </row>
    <row r="22" spans="2:10" x14ac:dyDescent="0.2">
      <c r="B22" s="4"/>
      <c r="C22" s="5"/>
      <c r="D22" s="6" t="s">
        <v>21</v>
      </c>
      <c r="E22" s="34">
        <v>20649600452</v>
      </c>
      <c r="F22" s="35">
        <v>1120273493</v>
      </c>
      <c r="G22" s="34">
        <v>21769873945</v>
      </c>
      <c r="H22" s="34">
        <v>16585933661</v>
      </c>
      <c r="I22" s="34">
        <v>16585933661</v>
      </c>
      <c r="J22" s="34">
        <v>-4063666791</v>
      </c>
    </row>
    <row r="23" spans="2:10" x14ac:dyDescent="0.2">
      <c r="B23" s="4"/>
      <c r="C23" s="5"/>
      <c r="D23" s="6" t="s">
        <v>22</v>
      </c>
      <c r="E23" s="34">
        <v>1377803336</v>
      </c>
      <c r="F23" s="35">
        <v>19827802</v>
      </c>
      <c r="G23" s="34">
        <v>1397631138</v>
      </c>
      <c r="H23" s="34">
        <v>1062384673</v>
      </c>
      <c r="I23" s="34">
        <v>1062384673</v>
      </c>
      <c r="J23" s="34">
        <v>-315418663</v>
      </c>
    </row>
    <row r="24" spans="2:10" x14ac:dyDescent="0.2">
      <c r="B24" s="4"/>
      <c r="C24" s="5"/>
      <c r="D24" s="6" t="s">
        <v>23</v>
      </c>
      <c r="E24" s="34">
        <v>932138172</v>
      </c>
      <c r="F24" s="35">
        <v>18998830</v>
      </c>
      <c r="G24" s="34">
        <v>951137002</v>
      </c>
      <c r="H24" s="34">
        <v>704034655</v>
      </c>
      <c r="I24" s="34">
        <v>704034655</v>
      </c>
      <c r="J24" s="34">
        <v>-228103517</v>
      </c>
    </row>
    <row r="25" spans="2:10" x14ac:dyDescent="0.2">
      <c r="B25" s="4"/>
      <c r="C25" s="5"/>
      <c r="D25" s="6" t="s">
        <v>24</v>
      </c>
      <c r="E25" s="34">
        <v>400904608</v>
      </c>
      <c r="F25" s="35">
        <v>0</v>
      </c>
      <c r="G25" s="34">
        <v>400904608</v>
      </c>
      <c r="H25" s="34">
        <v>285697871</v>
      </c>
      <c r="I25" s="34">
        <v>285697871</v>
      </c>
      <c r="J25" s="34">
        <v>-115206737</v>
      </c>
    </row>
    <row r="26" spans="2:10" x14ac:dyDescent="0.2">
      <c r="B26" s="4"/>
      <c r="C26" s="5"/>
      <c r="D26" s="6" t="s">
        <v>25</v>
      </c>
      <c r="E26" s="34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</row>
    <row r="27" spans="2:10" x14ac:dyDescent="0.2">
      <c r="B27" s="4"/>
      <c r="C27" s="5"/>
      <c r="D27" s="6" t="s">
        <v>26</v>
      </c>
      <c r="E27" s="34">
        <v>618503278</v>
      </c>
      <c r="F27" s="35">
        <v>49436279</v>
      </c>
      <c r="G27" s="34">
        <v>667939557</v>
      </c>
      <c r="H27" s="34">
        <v>602218769</v>
      </c>
      <c r="I27" s="34">
        <v>602218769</v>
      </c>
      <c r="J27" s="34">
        <v>-16284509</v>
      </c>
    </row>
    <row r="28" spans="2:10" x14ac:dyDescent="0.2">
      <c r="B28" s="4"/>
      <c r="C28" s="5"/>
      <c r="D28" s="6" t="s">
        <v>27</v>
      </c>
      <c r="E28" s="34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</row>
    <row r="29" spans="2:10" x14ac:dyDescent="0.2">
      <c r="B29" s="4"/>
      <c r="C29" s="5"/>
      <c r="D29" s="6" t="s">
        <v>28</v>
      </c>
      <c r="E29" s="34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</row>
    <row r="30" spans="2:10" x14ac:dyDescent="0.2">
      <c r="B30" s="4"/>
      <c r="C30" s="5"/>
      <c r="D30" s="6" t="s">
        <v>29</v>
      </c>
      <c r="E30" s="34">
        <v>766977392</v>
      </c>
      <c r="F30" s="35">
        <v>0</v>
      </c>
      <c r="G30" s="34">
        <v>766977392</v>
      </c>
      <c r="H30" s="34">
        <v>596942098</v>
      </c>
      <c r="I30" s="34">
        <v>596942098</v>
      </c>
      <c r="J30" s="34">
        <v>-170035294</v>
      </c>
    </row>
    <row r="31" spans="2:10" x14ac:dyDescent="0.2">
      <c r="B31" s="4"/>
      <c r="C31" s="5"/>
      <c r="D31" s="6" t="s">
        <v>30</v>
      </c>
      <c r="E31" s="34">
        <v>1516689131</v>
      </c>
      <c r="F31" s="35">
        <v>371175743</v>
      </c>
      <c r="G31" s="34">
        <v>1887864874</v>
      </c>
      <c r="H31" s="34">
        <v>1770495462</v>
      </c>
      <c r="I31" s="34">
        <v>1770495462</v>
      </c>
      <c r="J31" s="34">
        <v>253806331</v>
      </c>
    </row>
    <row r="32" spans="2:10" x14ac:dyDescent="0.2">
      <c r="B32" s="4"/>
      <c r="C32" s="5"/>
      <c r="D32" s="6" t="s">
        <v>31</v>
      </c>
      <c r="E32" s="34">
        <v>0</v>
      </c>
      <c r="F32" s="35">
        <v>94211422</v>
      </c>
      <c r="G32" s="34">
        <v>94211422</v>
      </c>
      <c r="H32" s="34">
        <v>117764277</v>
      </c>
      <c r="I32" s="34">
        <v>117764277</v>
      </c>
      <c r="J32" s="34">
        <v>117764277</v>
      </c>
    </row>
    <row r="33" spans="2:10" x14ac:dyDescent="0.2">
      <c r="B33" s="4"/>
      <c r="C33" s="39" t="s">
        <v>32</v>
      </c>
      <c r="D33" s="40"/>
      <c r="E33" s="82">
        <v>794809650</v>
      </c>
      <c r="F33" s="83">
        <v>1858852</v>
      </c>
      <c r="G33" s="82">
        <v>796668502</v>
      </c>
      <c r="H33" s="82">
        <v>730130239</v>
      </c>
      <c r="I33" s="82">
        <v>730130239</v>
      </c>
      <c r="J33" s="82">
        <v>-64679411</v>
      </c>
    </row>
    <row r="34" spans="2:10" x14ac:dyDescent="0.2">
      <c r="B34" s="4"/>
      <c r="C34" s="5"/>
      <c r="D34" s="6" t="s">
        <v>33</v>
      </c>
      <c r="E34" s="34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</row>
    <row r="35" spans="2:10" x14ac:dyDescent="0.2">
      <c r="B35" s="4"/>
      <c r="C35" s="5"/>
      <c r="D35" s="6" t="s">
        <v>34</v>
      </c>
      <c r="E35" s="34">
        <v>71156654</v>
      </c>
      <c r="F35" s="35">
        <v>2206210</v>
      </c>
      <c r="G35" s="34">
        <v>73362864</v>
      </c>
      <c r="H35" s="34">
        <v>55022148</v>
      </c>
      <c r="I35" s="34">
        <v>55022148</v>
      </c>
      <c r="J35" s="34">
        <v>-16134506</v>
      </c>
    </row>
    <row r="36" spans="2:10" x14ac:dyDescent="0.2">
      <c r="B36" s="4"/>
      <c r="C36" s="5"/>
      <c r="D36" s="6" t="s">
        <v>35</v>
      </c>
      <c r="E36" s="34">
        <v>263883854</v>
      </c>
      <c r="F36" s="36">
        <v>-347358</v>
      </c>
      <c r="G36" s="34">
        <v>263536496</v>
      </c>
      <c r="H36" s="34">
        <v>180793556</v>
      </c>
      <c r="I36" s="34">
        <v>180793556</v>
      </c>
      <c r="J36" s="34">
        <v>-83090298</v>
      </c>
    </row>
    <row r="37" spans="2:10" x14ac:dyDescent="0.2">
      <c r="B37" s="4"/>
      <c r="C37" s="5"/>
      <c r="D37" s="6" t="s">
        <v>36</v>
      </c>
      <c r="E37" s="34">
        <v>59367050</v>
      </c>
      <c r="F37" s="35">
        <v>0</v>
      </c>
      <c r="G37" s="34">
        <v>59367050</v>
      </c>
      <c r="H37" s="34">
        <v>36183681</v>
      </c>
      <c r="I37" s="34">
        <v>36183681</v>
      </c>
      <c r="J37" s="34">
        <v>-23183369</v>
      </c>
    </row>
    <row r="38" spans="2:10" x14ac:dyDescent="0.2">
      <c r="B38" s="4"/>
      <c r="C38" s="5"/>
      <c r="D38" s="6" t="s">
        <v>37</v>
      </c>
      <c r="E38" s="34">
        <v>400402092</v>
      </c>
      <c r="F38" s="35">
        <v>0</v>
      </c>
      <c r="G38" s="34">
        <v>400402092</v>
      </c>
      <c r="H38" s="34">
        <v>458130854</v>
      </c>
      <c r="I38" s="34">
        <v>458130854</v>
      </c>
      <c r="J38" s="34">
        <v>57728762</v>
      </c>
    </row>
    <row r="39" spans="2:10" x14ac:dyDescent="0.2">
      <c r="B39" s="7"/>
      <c r="C39" s="84" t="s">
        <v>38</v>
      </c>
      <c r="D39" s="6"/>
      <c r="E39" s="82">
        <v>0</v>
      </c>
      <c r="F39" s="83">
        <v>0</v>
      </c>
      <c r="G39" s="82">
        <v>0</v>
      </c>
      <c r="H39" s="82">
        <v>0</v>
      </c>
      <c r="I39" s="82">
        <v>0</v>
      </c>
      <c r="J39" s="82">
        <v>0</v>
      </c>
    </row>
    <row r="40" spans="2:10" x14ac:dyDescent="0.2">
      <c r="B40" s="4"/>
      <c r="C40" s="84" t="s">
        <v>39</v>
      </c>
      <c r="D40" s="6"/>
      <c r="E40" s="82">
        <v>0</v>
      </c>
      <c r="F40" s="83">
        <v>0</v>
      </c>
      <c r="G40" s="82">
        <v>0</v>
      </c>
      <c r="H40" s="82">
        <v>0</v>
      </c>
      <c r="I40" s="82">
        <v>0</v>
      </c>
      <c r="J40" s="82">
        <v>0</v>
      </c>
    </row>
    <row r="41" spans="2:10" x14ac:dyDescent="0.2">
      <c r="B41" s="4"/>
      <c r="C41" s="5"/>
      <c r="D41" s="6" t="s">
        <v>40</v>
      </c>
      <c r="E41" s="34">
        <v>0</v>
      </c>
      <c r="F41" s="35">
        <v>0</v>
      </c>
      <c r="G41" s="34">
        <v>0</v>
      </c>
      <c r="H41" s="34">
        <v>0</v>
      </c>
      <c r="I41" s="34">
        <v>0</v>
      </c>
      <c r="J41" s="34">
        <v>0</v>
      </c>
    </row>
    <row r="42" spans="2:10" x14ac:dyDescent="0.2">
      <c r="B42" s="4"/>
      <c r="C42" s="39" t="s">
        <v>41</v>
      </c>
      <c r="D42" s="40"/>
      <c r="E42" s="82">
        <v>0</v>
      </c>
      <c r="F42" s="83">
        <v>0</v>
      </c>
      <c r="G42" s="82">
        <v>0</v>
      </c>
      <c r="H42" s="82">
        <v>0</v>
      </c>
      <c r="I42" s="82">
        <v>0</v>
      </c>
      <c r="J42" s="82">
        <v>0</v>
      </c>
    </row>
    <row r="43" spans="2:10" x14ac:dyDescent="0.2">
      <c r="B43" s="4"/>
      <c r="C43" s="5"/>
      <c r="D43" s="6" t="s">
        <v>42</v>
      </c>
      <c r="E43" s="34">
        <v>0</v>
      </c>
      <c r="F43" s="35">
        <v>0</v>
      </c>
      <c r="G43" s="34">
        <v>0</v>
      </c>
      <c r="H43" s="34">
        <v>0</v>
      </c>
      <c r="I43" s="34">
        <v>0</v>
      </c>
      <c r="J43" s="34">
        <v>0</v>
      </c>
    </row>
    <row r="44" spans="2:10" x14ac:dyDescent="0.2">
      <c r="B44" s="4"/>
      <c r="C44" s="5"/>
      <c r="D44" s="6" t="s">
        <v>43</v>
      </c>
      <c r="E44" s="34">
        <v>0</v>
      </c>
      <c r="F44" s="35">
        <v>0</v>
      </c>
      <c r="G44" s="34">
        <v>0</v>
      </c>
      <c r="H44" s="34">
        <v>0</v>
      </c>
      <c r="I44" s="34">
        <v>0</v>
      </c>
      <c r="J44" s="34">
        <v>0</v>
      </c>
    </row>
    <row r="45" spans="2:10" x14ac:dyDescent="0.2">
      <c r="B45" s="4"/>
      <c r="C45" s="5"/>
      <c r="D45" s="6"/>
      <c r="E45" s="34"/>
      <c r="F45" s="35"/>
      <c r="G45" s="34"/>
      <c r="H45" s="34"/>
      <c r="I45" s="34"/>
      <c r="J45" s="34"/>
    </row>
    <row r="46" spans="2:10" x14ac:dyDescent="0.2">
      <c r="B46" s="49" t="s">
        <v>44</v>
      </c>
      <c r="C46" s="39"/>
      <c r="D46" s="40"/>
      <c r="E46" s="82">
        <v>31347682513</v>
      </c>
      <c r="F46" s="83">
        <v>1867139163</v>
      </c>
      <c r="G46" s="82">
        <v>33214821676</v>
      </c>
      <c r="H46" s="82">
        <v>25897745091</v>
      </c>
      <c r="I46" s="82">
        <v>25897745091</v>
      </c>
      <c r="J46" s="82">
        <v>-5449937422</v>
      </c>
    </row>
    <row r="47" spans="2:10" x14ac:dyDescent="0.2">
      <c r="B47" s="49" t="s">
        <v>45</v>
      </c>
      <c r="C47" s="39"/>
      <c r="D47" s="40"/>
      <c r="E47" s="34"/>
      <c r="F47" s="35"/>
      <c r="G47" s="34"/>
      <c r="H47" s="34"/>
      <c r="I47" s="34"/>
      <c r="J47" s="34"/>
    </row>
    <row r="48" spans="2:10" x14ac:dyDescent="0.2">
      <c r="B48" s="50"/>
      <c r="C48" s="45"/>
      <c r="D48" s="46"/>
      <c r="E48" s="34"/>
      <c r="F48" s="35"/>
      <c r="G48" s="34"/>
      <c r="H48" s="34"/>
      <c r="I48" s="34"/>
      <c r="J48" s="34"/>
    </row>
    <row r="49" spans="2:10" x14ac:dyDescent="0.2">
      <c r="B49" s="49" t="s">
        <v>46</v>
      </c>
      <c r="C49" s="39"/>
      <c r="D49" s="40"/>
      <c r="E49" s="37"/>
      <c r="F49" s="38"/>
      <c r="G49" s="37"/>
      <c r="H49" s="37"/>
      <c r="I49" s="37"/>
      <c r="J49" s="82">
        <v>-5449937422</v>
      </c>
    </row>
    <row r="50" spans="2:10" x14ac:dyDescent="0.2">
      <c r="B50" s="4"/>
      <c r="C50" s="5"/>
      <c r="D50" s="6"/>
      <c r="E50" s="34"/>
      <c r="F50" s="35"/>
      <c r="G50" s="34"/>
      <c r="H50" s="34"/>
      <c r="I50" s="34"/>
      <c r="J50" s="34"/>
    </row>
    <row r="51" spans="2:10" x14ac:dyDescent="0.2">
      <c r="B51" s="49" t="s">
        <v>47</v>
      </c>
      <c r="C51" s="39"/>
      <c r="D51" s="40"/>
      <c r="E51" s="34"/>
      <c r="F51" s="35"/>
      <c r="G51" s="34"/>
      <c r="H51" s="34"/>
      <c r="I51" s="34"/>
      <c r="J51" s="34"/>
    </row>
    <row r="52" spans="2:10" x14ac:dyDescent="0.2">
      <c r="B52" s="4"/>
      <c r="C52" s="45" t="s">
        <v>48</v>
      </c>
      <c r="D52" s="46"/>
      <c r="E52" s="82">
        <v>31715360555</v>
      </c>
      <c r="F52" s="83">
        <v>202971023</v>
      </c>
      <c r="G52" s="82">
        <v>31918331578</v>
      </c>
      <c r="H52" s="82">
        <v>23499560128</v>
      </c>
      <c r="I52" s="82">
        <v>23499560128</v>
      </c>
      <c r="J52" s="82">
        <v>-8215800427</v>
      </c>
    </row>
    <row r="53" spans="2:10" x14ac:dyDescent="0.2">
      <c r="B53" s="7"/>
      <c r="C53" s="5"/>
      <c r="D53" s="18" t="s">
        <v>49</v>
      </c>
      <c r="E53" s="34">
        <v>18385448004</v>
      </c>
      <c r="F53" s="35">
        <v>0</v>
      </c>
      <c r="G53" s="34">
        <v>18385448004</v>
      </c>
      <c r="H53" s="34">
        <v>12931148278</v>
      </c>
      <c r="I53" s="34">
        <v>12931148278</v>
      </c>
      <c r="J53" s="34">
        <v>-5454299726</v>
      </c>
    </row>
    <row r="54" spans="2:10" x14ac:dyDescent="0.2">
      <c r="B54" s="7"/>
      <c r="C54" s="5"/>
      <c r="D54" s="18" t="s">
        <v>50</v>
      </c>
      <c r="E54" s="34">
        <v>3584348363</v>
      </c>
      <c r="F54" s="35">
        <v>0</v>
      </c>
      <c r="G54" s="34">
        <v>3584348363</v>
      </c>
      <c r="H54" s="34">
        <v>2576067162</v>
      </c>
      <c r="I54" s="34">
        <v>2576067162</v>
      </c>
      <c r="J54" s="34">
        <v>-1008281201</v>
      </c>
    </row>
    <row r="55" spans="2:10" x14ac:dyDescent="0.2">
      <c r="B55" s="7"/>
      <c r="C55" s="5"/>
      <c r="D55" s="18" t="s">
        <v>51</v>
      </c>
      <c r="E55" s="34">
        <v>3380045882</v>
      </c>
      <c r="F55" s="35">
        <v>26239141</v>
      </c>
      <c r="G55" s="34">
        <v>3406285023</v>
      </c>
      <c r="H55" s="34">
        <v>3065656519</v>
      </c>
      <c r="I55" s="34">
        <v>3065656519</v>
      </c>
      <c r="J55" s="34">
        <v>-314389363</v>
      </c>
    </row>
    <row r="56" spans="2:10" ht="24" customHeight="1" x14ac:dyDescent="0.2">
      <c r="B56" s="7"/>
      <c r="C56" s="5"/>
      <c r="D56" s="28" t="s">
        <v>52</v>
      </c>
      <c r="E56" s="34">
        <v>3096628697</v>
      </c>
      <c r="F56" s="35">
        <v>22543545</v>
      </c>
      <c r="G56" s="34">
        <v>3119172242</v>
      </c>
      <c r="H56" s="34">
        <v>2339379189</v>
      </c>
      <c r="I56" s="34">
        <v>2339379189</v>
      </c>
      <c r="J56" s="34">
        <v>-757249508</v>
      </c>
    </row>
    <row r="57" spans="2:10" x14ac:dyDescent="0.2">
      <c r="B57" s="7"/>
      <c r="C57" s="5"/>
      <c r="D57" s="18" t="s">
        <v>53</v>
      </c>
      <c r="E57" s="34">
        <v>1107048507</v>
      </c>
      <c r="F57" s="35">
        <v>30828394</v>
      </c>
      <c r="G57" s="34">
        <v>1137876901</v>
      </c>
      <c r="H57" s="34">
        <v>853407657</v>
      </c>
      <c r="I57" s="34">
        <v>853407657</v>
      </c>
      <c r="J57" s="34">
        <v>-253640850</v>
      </c>
    </row>
    <row r="58" spans="2:10" ht="22.5" customHeight="1" x14ac:dyDescent="0.2">
      <c r="B58" s="7"/>
      <c r="C58" s="5"/>
      <c r="D58" s="18" t="s">
        <v>54</v>
      </c>
      <c r="E58" s="34">
        <v>207900219</v>
      </c>
      <c r="F58" s="35">
        <v>167943</v>
      </c>
      <c r="G58" s="34">
        <v>208068162</v>
      </c>
      <c r="H58" s="34">
        <v>144570866</v>
      </c>
      <c r="I58" s="34">
        <v>144570866</v>
      </c>
      <c r="J58" s="34">
        <v>-63329353</v>
      </c>
    </row>
    <row r="59" spans="2:10" x14ac:dyDescent="0.2">
      <c r="B59" s="7"/>
      <c r="C59" s="5"/>
      <c r="D59" s="18" t="s">
        <v>55</v>
      </c>
      <c r="E59" s="34">
        <v>101548770</v>
      </c>
      <c r="F59" s="35">
        <v>108323204</v>
      </c>
      <c r="G59" s="34">
        <v>209871974</v>
      </c>
      <c r="H59" s="34">
        <v>188884773</v>
      </c>
      <c r="I59" s="34">
        <v>188884773</v>
      </c>
      <c r="J59" s="34">
        <v>87336003</v>
      </c>
    </row>
    <row r="60" spans="2:10" x14ac:dyDescent="0.2">
      <c r="B60" s="7"/>
      <c r="C60" s="5"/>
      <c r="D60" s="18" t="s">
        <v>56</v>
      </c>
      <c r="E60" s="34">
        <v>1852392113</v>
      </c>
      <c r="F60" s="35">
        <v>14868796</v>
      </c>
      <c r="G60" s="34">
        <v>1867260909</v>
      </c>
      <c r="H60" s="34">
        <v>1400445684</v>
      </c>
      <c r="I60" s="34">
        <v>1400445684</v>
      </c>
      <c r="J60" s="34">
        <v>-451946429</v>
      </c>
    </row>
    <row r="61" spans="2:10" x14ac:dyDescent="0.2">
      <c r="B61" s="4"/>
      <c r="C61" s="45" t="s">
        <v>57</v>
      </c>
      <c r="D61" s="46"/>
      <c r="E61" s="82">
        <v>6947145347</v>
      </c>
      <c r="F61" s="83">
        <v>2724261576</v>
      </c>
      <c r="G61" s="82">
        <v>9671406923</v>
      </c>
      <c r="H61" s="82">
        <v>8845860760</v>
      </c>
      <c r="I61" s="82">
        <v>8845860760</v>
      </c>
      <c r="J61" s="82">
        <v>1898715413</v>
      </c>
    </row>
    <row r="62" spans="2:10" x14ac:dyDescent="0.2">
      <c r="B62" s="4"/>
      <c r="C62" s="5"/>
      <c r="D62" s="6" t="s">
        <v>58</v>
      </c>
      <c r="E62" s="34">
        <v>2788966533</v>
      </c>
      <c r="F62" s="35">
        <v>0</v>
      </c>
      <c r="G62" s="34">
        <v>2788966533</v>
      </c>
      <c r="H62" s="34">
        <v>2337838611</v>
      </c>
      <c r="I62" s="34">
        <v>2337838611</v>
      </c>
      <c r="J62" s="34">
        <v>-451127922</v>
      </c>
    </row>
    <row r="63" spans="2:10" x14ac:dyDescent="0.2">
      <c r="B63" s="7"/>
      <c r="C63" s="5"/>
      <c r="D63" s="6" t="s">
        <v>59</v>
      </c>
      <c r="E63" s="34">
        <v>4158178814</v>
      </c>
      <c r="F63" s="35">
        <v>2724261576</v>
      </c>
      <c r="G63" s="34">
        <v>6882440390</v>
      </c>
      <c r="H63" s="34">
        <v>6508022149</v>
      </c>
      <c r="I63" s="34">
        <v>6508022149</v>
      </c>
      <c r="J63" s="34">
        <v>2349843335</v>
      </c>
    </row>
    <row r="64" spans="2:10" x14ac:dyDescent="0.2">
      <c r="B64" s="4"/>
      <c r="C64" s="5"/>
      <c r="D64" s="6" t="s">
        <v>60</v>
      </c>
      <c r="E64" s="34">
        <v>0</v>
      </c>
      <c r="F64" s="35">
        <v>0</v>
      </c>
      <c r="G64" s="34">
        <v>0</v>
      </c>
      <c r="H64" s="34">
        <v>0</v>
      </c>
      <c r="I64" s="34">
        <v>0</v>
      </c>
      <c r="J64" s="34">
        <v>0</v>
      </c>
    </row>
    <row r="65" spans="2:10" x14ac:dyDescent="0.2">
      <c r="B65" s="4"/>
      <c r="C65" s="5"/>
      <c r="D65" s="6" t="s">
        <v>61</v>
      </c>
      <c r="E65" s="34">
        <v>0</v>
      </c>
      <c r="F65" s="35">
        <v>0</v>
      </c>
      <c r="G65" s="34">
        <v>0</v>
      </c>
      <c r="H65" s="34">
        <v>0</v>
      </c>
      <c r="I65" s="34">
        <v>0</v>
      </c>
      <c r="J65" s="34">
        <v>0</v>
      </c>
    </row>
    <row r="66" spans="2:10" x14ac:dyDescent="0.2">
      <c r="B66" s="4"/>
      <c r="C66" s="45" t="s">
        <v>62</v>
      </c>
      <c r="D66" s="46"/>
      <c r="E66" s="82">
        <v>7353025</v>
      </c>
      <c r="F66" s="83">
        <v>0</v>
      </c>
      <c r="G66" s="82">
        <v>7353025</v>
      </c>
      <c r="H66" s="82">
        <v>7726002</v>
      </c>
      <c r="I66" s="82">
        <v>7726002</v>
      </c>
      <c r="J66" s="82">
        <v>372977</v>
      </c>
    </row>
    <row r="67" spans="2:10" x14ac:dyDescent="0.2">
      <c r="B67" s="4"/>
      <c r="C67" s="5"/>
      <c r="D67" s="8" t="s">
        <v>63</v>
      </c>
      <c r="E67" s="34">
        <v>0</v>
      </c>
      <c r="F67" s="35">
        <v>0</v>
      </c>
      <c r="G67" s="34">
        <v>0</v>
      </c>
      <c r="H67" s="34">
        <v>0</v>
      </c>
      <c r="I67" s="34">
        <v>0</v>
      </c>
      <c r="J67" s="34">
        <v>0</v>
      </c>
    </row>
    <row r="68" spans="2:10" x14ac:dyDescent="0.2">
      <c r="B68" s="4"/>
      <c r="C68" s="5"/>
      <c r="D68" s="6" t="s">
        <v>64</v>
      </c>
      <c r="E68" s="34">
        <v>7353025</v>
      </c>
      <c r="F68" s="35">
        <v>0</v>
      </c>
      <c r="G68" s="34">
        <v>7353025</v>
      </c>
      <c r="H68" s="34">
        <v>7726002</v>
      </c>
      <c r="I68" s="34">
        <v>7726002</v>
      </c>
      <c r="J68" s="34">
        <v>372977</v>
      </c>
    </row>
    <row r="69" spans="2:10" x14ac:dyDescent="0.2">
      <c r="B69" s="7"/>
      <c r="C69" s="47" t="s">
        <v>65</v>
      </c>
      <c r="D69" s="48"/>
      <c r="E69" s="34">
        <v>0</v>
      </c>
      <c r="F69" s="35">
        <v>0</v>
      </c>
      <c r="G69" s="34">
        <v>0</v>
      </c>
      <c r="H69" s="34">
        <v>0</v>
      </c>
      <c r="I69" s="34">
        <v>0</v>
      </c>
      <c r="J69" s="34">
        <v>0</v>
      </c>
    </row>
    <row r="70" spans="2:10" x14ac:dyDescent="0.2">
      <c r="B70" s="7"/>
      <c r="C70" s="45" t="s">
        <v>66</v>
      </c>
      <c r="D70" s="46"/>
      <c r="E70" s="34">
        <v>0</v>
      </c>
      <c r="F70" s="35">
        <v>0</v>
      </c>
      <c r="G70" s="34">
        <v>0</v>
      </c>
      <c r="H70" s="34">
        <v>0</v>
      </c>
      <c r="I70" s="34">
        <v>0</v>
      </c>
      <c r="J70" s="34">
        <v>0</v>
      </c>
    </row>
    <row r="71" spans="2:10" x14ac:dyDescent="0.2">
      <c r="B71" s="4"/>
      <c r="C71" s="45"/>
      <c r="D71" s="46"/>
      <c r="E71" s="34"/>
      <c r="F71" s="35"/>
      <c r="G71" s="34"/>
      <c r="H71" s="34"/>
      <c r="I71" s="34"/>
      <c r="J71" s="34"/>
    </row>
    <row r="72" spans="2:10" x14ac:dyDescent="0.2">
      <c r="B72" s="49" t="s">
        <v>67</v>
      </c>
      <c r="C72" s="39"/>
      <c r="D72" s="40"/>
      <c r="E72" s="82">
        <v>38669858927</v>
      </c>
      <c r="F72" s="83">
        <v>2927232599</v>
      </c>
      <c r="G72" s="82">
        <v>41597091526</v>
      </c>
      <c r="H72" s="82">
        <v>32353146890</v>
      </c>
      <c r="I72" s="82">
        <v>32353146890</v>
      </c>
      <c r="J72" s="82">
        <v>-6316712037</v>
      </c>
    </row>
    <row r="73" spans="2:10" x14ac:dyDescent="0.2">
      <c r="B73" s="4"/>
      <c r="C73" s="45"/>
      <c r="D73" s="46"/>
      <c r="E73" s="34"/>
      <c r="F73" s="35"/>
      <c r="G73" s="34"/>
      <c r="H73" s="34"/>
      <c r="I73" s="34"/>
      <c r="J73" s="34"/>
    </row>
    <row r="74" spans="2:10" x14ac:dyDescent="0.2">
      <c r="B74" s="49" t="s">
        <v>68</v>
      </c>
      <c r="C74" s="39"/>
      <c r="D74" s="40"/>
      <c r="E74" s="34">
        <v>0</v>
      </c>
      <c r="F74" s="35">
        <v>0</v>
      </c>
      <c r="G74" s="34">
        <v>0</v>
      </c>
      <c r="H74" s="34">
        <v>0</v>
      </c>
      <c r="I74" s="34">
        <v>0</v>
      </c>
      <c r="J74" s="34">
        <v>0</v>
      </c>
    </row>
    <row r="75" spans="2:10" x14ac:dyDescent="0.2">
      <c r="B75" s="4"/>
      <c r="C75" s="45" t="s">
        <v>69</v>
      </c>
      <c r="D75" s="46"/>
      <c r="E75" s="34">
        <v>0</v>
      </c>
      <c r="F75" s="35">
        <v>0</v>
      </c>
      <c r="G75" s="34">
        <v>0</v>
      </c>
      <c r="H75" s="34">
        <v>0</v>
      </c>
      <c r="I75" s="34">
        <v>0</v>
      </c>
      <c r="J75" s="34">
        <v>0</v>
      </c>
    </row>
    <row r="76" spans="2:10" x14ac:dyDescent="0.2">
      <c r="B76" s="4"/>
      <c r="C76" s="45"/>
      <c r="D76" s="46"/>
      <c r="E76" s="34"/>
      <c r="F76" s="35"/>
      <c r="G76" s="34"/>
      <c r="H76" s="34"/>
      <c r="I76" s="34"/>
      <c r="J76" s="34"/>
    </row>
    <row r="77" spans="2:10" x14ac:dyDescent="0.2">
      <c r="B77" s="49" t="s">
        <v>70</v>
      </c>
      <c r="C77" s="39"/>
      <c r="D77" s="40"/>
      <c r="E77" s="82">
        <v>70017541440</v>
      </c>
      <c r="F77" s="83">
        <v>4794371762</v>
      </c>
      <c r="G77" s="82">
        <v>74811913202</v>
      </c>
      <c r="H77" s="82">
        <v>58250891981</v>
      </c>
      <c r="I77" s="82">
        <v>58250891981</v>
      </c>
      <c r="J77" s="82">
        <v>-11766649459</v>
      </c>
    </row>
    <row r="78" spans="2:10" x14ac:dyDescent="0.2">
      <c r="B78" s="4"/>
      <c r="C78" s="45"/>
      <c r="D78" s="46"/>
      <c r="E78" s="34"/>
      <c r="F78" s="35"/>
      <c r="G78" s="34"/>
      <c r="H78" s="34"/>
      <c r="I78" s="34"/>
      <c r="J78" s="34"/>
    </row>
    <row r="79" spans="2:10" x14ac:dyDescent="0.2">
      <c r="B79" s="4"/>
      <c r="C79" s="39" t="s">
        <v>71</v>
      </c>
      <c r="D79" s="40"/>
      <c r="E79" s="34"/>
      <c r="F79" s="35"/>
      <c r="G79" s="34"/>
      <c r="H79" s="34"/>
      <c r="I79" s="34"/>
      <c r="J79" s="34"/>
    </row>
    <row r="80" spans="2:10" ht="21.75" customHeight="1" x14ac:dyDescent="0.2">
      <c r="B80" s="4"/>
      <c r="C80" s="41" t="s">
        <v>72</v>
      </c>
      <c r="D80" s="42"/>
      <c r="E80" s="34">
        <v>0</v>
      </c>
      <c r="F80" s="35">
        <v>0</v>
      </c>
      <c r="G80" s="34">
        <v>0</v>
      </c>
      <c r="H80" s="34">
        <v>0</v>
      </c>
      <c r="I80" s="34">
        <v>0</v>
      </c>
      <c r="J80" s="34">
        <v>0</v>
      </c>
    </row>
    <row r="81" spans="2:10" ht="27" customHeight="1" x14ac:dyDescent="0.2">
      <c r="B81" s="4"/>
      <c r="C81" s="41" t="s">
        <v>73</v>
      </c>
      <c r="D81" s="42"/>
      <c r="E81" s="34">
        <v>0</v>
      </c>
      <c r="F81" s="35">
        <v>0</v>
      </c>
      <c r="G81" s="34">
        <v>0</v>
      </c>
      <c r="H81" s="34">
        <v>0</v>
      </c>
      <c r="I81" s="34">
        <v>0</v>
      </c>
      <c r="J81" s="34">
        <v>0</v>
      </c>
    </row>
    <row r="82" spans="2:10" x14ac:dyDescent="0.2">
      <c r="B82" s="4"/>
      <c r="C82" s="39" t="s">
        <v>74</v>
      </c>
      <c r="D82" s="40"/>
      <c r="E82" s="34">
        <v>0</v>
      </c>
      <c r="F82" s="35">
        <v>0</v>
      </c>
      <c r="G82" s="34">
        <v>0</v>
      </c>
      <c r="H82" s="34">
        <v>0</v>
      </c>
      <c r="I82" s="34">
        <v>0</v>
      </c>
      <c r="J82" s="34">
        <v>0</v>
      </c>
    </row>
    <row r="83" spans="2:10" ht="13.5" thickBot="1" x14ac:dyDescent="0.25">
      <c r="B83" s="9"/>
      <c r="C83" s="43"/>
      <c r="D83" s="44"/>
      <c r="E83" s="29"/>
      <c r="F83" s="30"/>
      <c r="G83" s="31"/>
      <c r="H83" s="31"/>
      <c r="I83" s="31"/>
      <c r="J83" s="31"/>
    </row>
    <row r="84" spans="2:10" x14ac:dyDescent="0.2">
      <c r="B84" s="10"/>
      <c r="C84" s="10"/>
      <c r="D84" s="10"/>
      <c r="E84" s="10"/>
      <c r="F84" s="10"/>
      <c r="G84" s="10"/>
      <c r="H84" s="13"/>
      <c r="I84" s="10"/>
      <c r="J84" s="10"/>
    </row>
    <row r="86" spans="2:10" x14ac:dyDescent="0.2">
      <c r="E86" s="11"/>
    </row>
    <row r="87" spans="2:10" x14ac:dyDescent="0.2">
      <c r="F87" s="11"/>
    </row>
  </sheetData>
  <mergeCells count="50">
    <mergeCell ref="B3:J3"/>
    <mergeCell ref="B4:J4"/>
    <mergeCell ref="B5:J5"/>
    <mergeCell ref="B7:J7"/>
    <mergeCell ref="E8:I8"/>
    <mergeCell ref="J8:J10"/>
    <mergeCell ref="E9:E10"/>
    <mergeCell ref="F9:F10"/>
    <mergeCell ref="C18:D18"/>
    <mergeCell ref="G9:G10"/>
    <mergeCell ref="H9:H10"/>
    <mergeCell ref="I9:I10"/>
    <mergeCell ref="B10:D10"/>
    <mergeCell ref="B11:D11"/>
    <mergeCell ref="B12:D12"/>
    <mergeCell ref="C13:D13"/>
    <mergeCell ref="C14:D14"/>
    <mergeCell ref="C15:D15"/>
    <mergeCell ref="C16:D16"/>
    <mergeCell ref="C17:D17"/>
    <mergeCell ref="B8:D9"/>
    <mergeCell ref="C52:D52"/>
    <mergeCell ref="C19:D19"/>
    <mergeCell ref="B20:B21"/>
    <mergeCell ref="C20:D20"/>
    <mergeCell ref="C21:D21"/>
    <mergeCell ref="C33:D33"/>
    <mergeCell ref="C42:D42"/>
    <mergeCell ref="B46:D46"/>
    <mergeCell ref="B47:D47"/>
    <mergeCell ref="B48:D48"/>
    <mergeCell ref="B49:D49"/>
    <mergeCell ref="B51:D51"/>
    <mergeCell ref="C78:D78"/>
    <mergeCell ref="C61:D61"/>
    <mergeCell ref="C66:D66"/>
    <mergeCell ref="C69:D69"/>
    <mergeCell ref="C70:D70"/>
    <mergeCell ref="C71:D71"/>
    <mergeCell ref="B72:D72"/>
    <mergeCell ref="C73:D73"/>
    <mergeCell ref="B74:D74"/>
    <mergeCell ref="C75:D75"/>
    <mergeCell ref="C76:D76"/>
    <mergeCell ref="B77:D77"/>
    <mergeCell ref="C79:D79"/>
    <mergeCell ref="C80:D80"/>
    <mergeCell ref="C81:D81"/>
    <mergeCell ref="C82:D82"/>
    <mergeCell ref="C83:D83"/>
  </mergeCells>
  <printOptions horizontalCentered="1"/>
  <pageMargins left="0" right="0" top="0" bottom="0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5"/>
  <sheetViews>
    <sheetView topLeftCell="A4" zoomScale="80" zoomScaleNormal="80" workbookViewId="0">
      <selection activeCell="A19" sqref="A19"/>
    </sheetView>
  </sheetViews>
  <sheetFormatPr baseColWidth="10" defaultColWidth="36.42578125" defaultRowHeight="12.75" x14ac:dyDescent="0.2"/>
  <cols>
    <col min="1" max="1" width="60" bestFit="1" customWidth="1"/>
    <col min="2" max="2" width="17.42578125" bestFit="1" customWidth="1"/>
    <col min="3" max="3" width="29.28515625" bestFit="1" customWidth="1"/>
    <col min="4" max="4" width="17.42578125" bestFit="1" customWidth="1"/>
    <col min="5" max="5" width="17.140625" bestFit="1" customWidth="1"/>
    <col min="6" max="6" width="21.5703125" bestFit="1" customWidth="1"/>
    <col min="7" max="7" width="18.140625" bestFit="1" customWidth="1"/>
  </cols>
  <sheetData>
    <row r="2" spans="1:7" x14ac:dyDescent="0.2">
      <c r="A2" s="22"/>
      <c r="B2" s="23" t="str">
        <f>[1]!BexGetCellData("00O2TQ2O5Z7FJGG3WNRY95GUJ","","DP_3")</f>
        <v xml:space="preserve"> Estimado</v>
      </c>
      <c r="C2" s="23" t="str">
        <f>[1]!BexGetCellData("00O2TQ2O5Z7FJGG3WNRY95N63","","DP_3")</f>
        <v xml:space="preserve"> Ampliaciones y Reducciones</v>
      </c>
      <c r="D2" s="23" t="str">
        <f>[1]!BexGetCellData("00O2TQ2O5Z7FJGG3WNRY95THN","","DP_3")</f>
        <v>Modificado</v>
      </c>
      <c r="E2" s="23" t="str">
        <f>[1]!BexGetCellData("00O2TQ2O5Z7FJGG3WNRY95ZT7","","DP_3")</f>
        <v>Devengado</v>
      </c>
      <c r="F2" s="23" t="str">
        <f>[1]!BexGetCellData("00O2TQ2O5Z7FN7M9BTIZBOZ6Y","","DP_3")</f>
        <v>Ingreso Recaudado</v>
      </c>
      <c r="G2" s="23" t="str">
        <f>[1]!BexGetCellData("00O2TQ2O5Z7FJGG3WNRY96CGB","","DP_3")</f>
        <v>Diferencia (e)</v>
      </c>
    </row>
    <row r="3" spans="1:7" x14ac:dyDescent="0.2">
      <c r="A3" s="23" t="str">
        <f>[1]!BexGetCellData("","00O2TQ2O5Z7FJGG1WKEQUXCR7","DP_3")</f>
        <v>Ingresos de Libre Disposición</v>
      </c>
      <c r="B3" s="24">
        <f>[1]!BexGetCellData("00O2TQ2O5Z7FJGG3WNRY95GUJ","00O2TQ2O5Z7FJGG1WKEQUXCR7","DP_3")</f>
        <v>0</v>
      </c>
      <c r="C3" s="24">
        <f>[1]!BexGetCellData("00O2TQ2O5Z7FJGG3WNRY95N63","00O2TQ2O5Z7FJGG1WKEQUXCR7","DP_3")</f>
        <v>0</v>
      </c>
      <c r="D3" s="24">
        <f>[1]!BexGetCellData("00O2TQ2O5Z7FJGG3WNRY95THN","00O2TQ2O5Z7FJGG1WKEQUXCR7","DP_3")</f>
        <v>0</v>
      </c>
      <c r="E3" s="24">
        <f>[1]!BexGetCellData("00O2TQ2O5Z7FJGG3WNRY95ZT7","00O2TQ2O5Z7FJGG1WKEQUXCR7","DP_3")</f>
        <v>0</v>
      </c>
      <c r="F3" s="24">
        <f>[1]!BexGetCellData("00O2TQ2O5Z7FN7M9BTIZBOZ6Y","00O2TQ2O5Z7FJGG1WKEQUXCR7","DP_3")</f>
        <v>0</v>
      </c>
      <c r="G3" s="24">
        <f>[1]!BexGetCellData("00O2TQ2O5Z7FJGG3WNRY96CGB","00O2TQ2O5Z7FJGG1WKEQUXCR7","DP_3")</f>
        <v>0</v>
      </c>
    </row>
    <row r="4" spans="1:7" x14ac:dyDescent="0.2">
      <c r="A4" s="23" t="str">
        <f>[1]!BexGetCellData("","00O2TQ2O5Z7FJGG1WKEQUXJ2R","DP_3")</f>
        <v>A. Impuestos</v>
      </c>
      <c r="B4" s="24">
        <f>[1]!BexGetCellData("00O2TQ2O5Z7FJGG3WNRY95GUJ","00O2TQ2O5Z7FJGG1WKEQUXJ2R","DP_3")</f>
        <v>0</v>
      </c>
      <c r="C4" s="24">
        <f>[1]!BexGetCellData("00O2TQ2O5Z7FJGG3WNRY95N63","00O2TQ2O5Z7FJGG1WKEQUXJ2R","DP_3")</f>
        <v>0</v>
      </c>
      <c r="D4" s="24">
        <f>[1]!BexGetCellData("00O2TQ2O5Z7FJGG3WNRY95THN","00O2TQ2O5Z7FJGG1WKEQUXJ2R","DP_3")</f>
        <v>0</v>
      </c>
      <c r="E4" s="24">
        <f>[1]!BexGetCellData("00O2TQ2O5Z7FJGG3WNRY95ZT7","00O2TQ2O5Z7FJGG1WKEQUXJ2R","DP_3")</f>
        <v>0</v>
      </c>
      <c r="F4" s="24">
        <f>[1]!BexGetCellData("00O2TQ2O5Z7FN7M9BTIZBOZ6Y","00O2TQ2O5Z7FJGG1WKEQUXJ2R","DP_3")</f>
        <v>0</v>
      </c>
      <c r="G4" s="24">
        <f>[1]!BexGetCellData("00O2TQ2O5Z7FJGG3WNRY96CGB","00O2TQ2O5Z7FJGG1WKEQUXJ2R","DP_3")</f>
        <v>0</v>
      </c>
    </row>
    <row r="5" spans="1:7" x14ac:dyDescent="0.2">
      <c r="A5" s="23" t="str">
        <f>[1]!BexGetCellData("","00O2TQ2O5Z7FJGG1WKEQUXPEB","DP_3")</f>
        <v>B. Cuotas y Aportaciones de Seguridad Social</v>
      </c>
      <c r="B5" s="24">
        <f>[1]!BexGetCellData("00O2TQ2O5Z7FJGG3WNRY95GUJ","00O2TQ2O5Z7FJGG1WKEQUXPEB","DP_3")</f>
        <v>0</v>
      </c>
      <c r="C5" s="24">
        <f>[1]!BexGetCellData("00O2TQ2O5Z7FJGG3WNRY95N63","00O2TQ2O5Z7FJGG1WKEQUXPEB","DP_3")</f>
        <v>0</v>
      </c>
      <c r="D5" s="24">
        <f>[1]!BexGetCellData("00O2TQ2O5Z7FJGG3WNRY95THN","00O2TQ2O5Z7FJGG1WKEQUXPEB","DP_3")</f>
        <v>0</v>
      </c>
      <c r="E5" s="24">
        <f>[1]!BexGetCellData("00O2TQ2O5Z7FJGG3WNRY95ZT7","00O2TQ2O5Z7FJGG1WKEQUXPEB","DP_3")</f>
        <v>0</v>
      </c>
      <c r="F5" s="24">
        <f>[1]!BexGetCellData("00O2TQ2O5Z7FN7M9BTIZBOZ6Y","00O2TQ2O5Z7FJGG1WKEQUXPEB","DP_3")</f>
        <v>0</v>
      </c>
      <c r="G5" s="24">
        <f>[1]!BexGetCellData("00O2TQ2O5Z7FJGG3WNRY96CGB","00O2TQ2O5Z7FJGG1WKEQUXPEB","DP_3")</f>
        <v>0</v>
      </c>
    </row>
    <row r="6" spans="1:7" x14ac:dyDescent="0.2">
      <c r="A6" s="23" t="str">
        <f>[1]!BexGetCellData("","00O2TQ2O5Z7FJGG1WKEQUXVPV","DP_3")</f>
        <v>C. Contribuciones de Mejoras</v>
      </c>
      <c r="B6" s="24">
        <f>[1]!BexGetCellData("00O2TQ2O5Z7FJGG3WNRY95GUJ","00O2TQ2O5Z7FJGG1WKEQUXVPV","DP_3")</f>
        <v>0</v>
      </c>
      <c r="C6" s="24">
        <f>[1]!BexGetCellData("00O2TQ2O5Z7FJGG3WNRY95N63","00O2TQ2O5Z7FJGG1WKEQUXVPV","DP_3")</f>
        <v>0</v>
      </c>
      <c r="D6" s="24">
        <f>[1]!BexGetCellData("00O2TQ2O5Z7FJGG3WNRY95THN","00O2TQ2O5Z7FJGG1WKEQUXVPV","DP_3")</f>
        <v>0</v>
      </c>
      <c r="E6" s="24">
        <f>[1]!BexGetCellData("00O2TQ2O5Z7FJGG3WNRY95ZT7","00O2TQ2O5Z7FJGG1WKEQUXVPV","DP_3")</f>
        <v>0</v>
      </c>
      <c r="F6" s="24">
        <f>[1]!BexGetCellData("00O2TQ2O5Z7FN7M9BTIZBOZ6Y","00O2TQ2O5Z7FJGG1WKEQUXVPV","DP_3")</f>
        <v>0</v>
      </c>
      <c r="G6" s="24">
        <f>[1]!BexGetCellData("00O2TQ2O5Z7FJGG3WNRY96CGB","00O2TQ2O5Z7FJGG1WKEQUXVPV","DP_3")</f>
        <v>0</v>
      </c>
    </row>
    <row r="7" spans="1:7" x14ac:dyDescent="0.2">
      <c r="A7" s="23" t="str">
        <f>[1]!BexGetCellData("","00O2TQ2O5Z7FJGG1WKEQUY21F","DP_3")</f>
        <v>D. Derechos</v>
      </c>
      <c r="B7" s="24">
        <f>[1]!BexGetCellData("00O2TQ2O5Z7FJGG3WNRY95GUJ","00O2TQ2O5Z7FJGG1WKEQUY21F","DP_3")</f>
        <v>0</v>
      </c>
      <c r="C7" s="24">
        <f>[1]!BexGetCellData("00O2TQ2O5Z7FJGG3WNRY95N63","00O2TQ2O5Z7FJGG1WKEQUY21F","DP_3")</f>
        <v>0</v>
      </c>
      <c r="D7" s="24">
        <f>[1]!BexGetCellData("00O2TQ2O5Z7FJGG3WNRY95THN","00O2TQ2O5Z7FJGG1WKEQUY21F","DP_3")</f>
        <v>0</v>
      </c>
      <c r="E7" s="24">
        <f>[1]!BexGetCellData("00O2TQ2O5Z7FJGG3WNRY95ZT7","00O2TQ2O5Z7FJGG1WKEQUY21F","DP_3")</f>
        <v>0</v>
      </c>
      <c r="F7" s="24">
        <f>[1]!BexGetCellData("00O2TQ2O5Z7FN7M9BTIZBOZ6Y","00O2TQ2O5Z7FJGG1WKEQUY21F","DP_3")</f>
        <v>0</v>
      </c>
      <c r="G7" s="24">
        <f>[1]!BexGetCellData("00O2TQ2O5Z7FJGG3WNRY96CGB","00O2TQ2O5Z7FJGG1WKEQUY21F","DP_3")</f>
        <v>0</v>
      </c>
    </row>
    <row r="8" spans="1:7" x14ac:dyDescent="0.2">
      <c r="A8" s="23" t="str">
        <f>[1]!BexGetCellData("","00O2TQ2O5Z7FJGG1WKEQUY8CZ","DP_3")</f>
        <v>E. Productos</v>
      </c>
      <c r="B8" s="24">
        <f>[1]!BexGetCellData("00O2TQ2O5Z7FJGG3WNRY95GUJ","00O2TQ2O5Z7FJGG1WKEQUY8CZ","DP_3")</f>
        <v>0</v>
      </c>
      <c r="C8" s="24">
        <f>[1]!BexGetCellData("00O2TQ2O5Z7FJGG3WNRY95N63","00O2TQ2O5Z7FJGG1WKEQUY8CZ","DP_3")</f>
        <v>0</v>
      </c>
      <c r="D8" s="24">
        <f>[1]!BexGetCellData("00O2TQ2O5Z7FJGG3WNRY95THN","00O2TQ2O5Z7FJGG1WKEQUY8CZ","DP_3")</f>
        <v>0</v>
      </c>
      <c r="E8" s="24">
        <f>[1]!BexGetCellData("00O2TQ2O5Z7FJGG3WNRY95ZT7","00O2TQ2O5Z7FJGG1WKEQUY8CZ","DP_3")</f>
        <v>0</v>
      </c>
      <c r="F8" s="24">
        <f>[1]!BexGetCellData("00O2TQ2O5Z7FN7M9BTIZBOZ6Y","00O2TQ2O5Z7FJGG1WKEQUY8CZ","DP_3")</f>
        <v>0</v>
      </c>
      <c r="G8" s="24">
        <f>[1]!BexGetCellData("00O2TQ2O5Z7FJGG3WNRY96CGB","00O2TQ2O5Z7FJGG1WKEQUY8CZ","DP_3")</f>
        <v>0</v>
      </c>
    </row>
    <row r="9" spans="1:7" x14ac:dyDescent="0.2">
      <c r="A9" s="23" t="str">
        <f>[1]!BexGetCellData("","00O2TQ2O5Z7FJGG1WKEQUYEOJ","DP_3")</f>
        <v>F. Aprovechamientos</v>
      </c>
      <c r="B9" s="24">
        <f>[1]!BexGetCellData("00O2TQ2O5Z7FJGG3WNRY95GUJ","00O2TQ2O5Z7FJGG1WKEQUYEOJ","DP_3")</f>
        <v>0</v>
      </c>
      <c r="C9" s="24">
        <f>[1]!BexGetCellData("00O2TQ2O5Z7FJGG3WNRY95N63","00O2TQ2O5Z7FJGG1WKEQUYEOJ","DP_3")</f>
        <v>0</v>
      </c>
      <c r="D9" s="24">
        <f>[1]!BexGetCellData("00O2TQ2O5Z7FJGG3WNRY95THN","00O2TQ2O5Z7FJGG1WKEQUYEOJ","DP_3")</f>
        <v>0</v>
      </c>
      <c r="E9" s="24">
        <f>[1]!BexGetCellData("00O2TQ2O5Z7FJGG3WNRY95ZT7","00O2TQ2O5Z7FJGG1WKEQUYEOJ","DP_3")</f>
        <v>0</v>
      </c>
      <c r="F9" s="24">
        <f>[1]!BexGetCellData("00O2TQ2O5Z7FN7M9BTIZBOZ6Y","00O2TQ2O5Z7FJGG1WKEQUYEOJ","DP_3")</f>
        <v>0</v>
      </c>
      <c r="G9" s="24">
        <f>[1]!BexGetCellData("00O2TQ2O5Z7FJGG3WNRY96CGB","00O2TQ2O5Z7FJGG1WKEQUYEOJ","DP_3")</f>
        <v>0</v>
      </c>
    </row>
    <row r="10" spans="1:7" x14ac:dyDescent="0.2">
      <c r="A10" s="23" t="str">
        <f>[1]!BexGetCellData("","00O2TQ2O5Z7FJGG1WKEQUYL03","DP_3")</f>
        <v>G. Ingresos por Ventas de Bienes y Servicios</v>
      </c>
      <c r="B10" s="24">
        <f>[1]!BexGetCellData("00O2TQ2O5Z7FJGG3WNRY95GUJ","00O2TQ2O5Z7FJGG1WKEQUYL03","DP_3")</f>
        <v>0</v>
      </c>
      <c r="C10" s="24">
        <f>[1]!BexGetCellData("00O2TQ2O5Z7FJGG3WNRY95N63","00O2TQ2O5Z7FJGG1WKEQUYL03","DP_3")</f>
        <v>0</v>
      </c>
      <c r="D10" s="24">
        <f>[1]!BexGetCellData("00O2TQ2O5Z7FJGG3WNRY95THN","00O2TQ2O5Z7FJGG1WKEQUYL03","DP_3")</f>
        <v>0</v>
      </c>
      <c r="E10" s="24">
        <f>[1]!BexGetCellData("00O2TQ2O5Z7FJGG3WNRY95ZT7","00O2TQ2O5Z7FJGG1WKEQUYL03","DP_3")</f>
        <v>0</v>
      </c>
      <c r="F10" s="24">
        <f>[1]!BexGetCellData("00O2TQ2O5Z7FN7M9BTIZBOZ6Y","00O2TQ2O5Z7FJGG1WKEQUYL03","DP_3")</f>
        <v>0</v>
      </c>
      <c r="G10" s="24">
        <f>[1]!BexGetCellData("00O2TQ2O5Z7FJGG3WNRY96CGB","00O2TQ2O5Z7FJGG1WKEQUYL03","DP_3")</f>
        <v>0</v>
      </c>
    </row>
    <row r="11" spans="1:7" x14ac:dyDescent="0.2">
      <c r="A11" s="23" t="str">
        <f>[1]!BexGetCellData("","00O2TQ2O5Z7FJGG1WKEQUYXN7","DP_3")</f>
        <v>H. Participaciones</v>
      </c>
      <c r="B11" s="24">
        <f>[1]!BexGetCellData("00O2TQ2O5Z7FJGG3WNRY95GUJ","00O2TQ2O5Z7FJGG1WKEQUYXN7","DP_3")</f>
        <v>0</v>
      </c>
      <c r="C11" s="24">
        <f>[1]!BexGetCellData("00O2TQ2O5Z7FJGG3WNRY95N63","00O2TQ2O5Z7FJGG1WKEQUYXN7","DP_3")</f>
        <v>0</v>
      </c>
      <c r="D11" s="24">
        <f>[1]!BexGetCellData("00O2TQ2O5Z7FJGG3WNRY95THN","00O2TQ2O5Z7FJGG1WKEQUYXN7","DP_3")</f>
        <v>0</v>
      </c>
      <c r="E11" s="24">
        <f>[1]!BexGetCellData("00O2TQ2O5Z7FJGG3WNRY95ZT7","00O2TQ2O5Z7FJGG1WKEQUYXN7","DP_3")</f>
        <v>0</v>
      </c>
      <c r="F11" s="24">
        <f>[1]!BexGetCellData("00O2TQ2O5Z7FN7M9BTIZBOZ6Y","00O2TQ2O5Z7FJGG1WKEQUYXN7","DP_3")</f>
        <v>0</v>
      </c>
      <c r="G11" s="24">
        <f>[1]!BexGetCellData("00O2TQ2O5Z7FJGG3WNRY96CGB","00O2TQ2O5Z7FJGG1WKEQUYXN7","DP_3")</f>
        <v>0</v>
      </c>
    </row>
    <row r="12" spans="1:7" x14ac:dyDescent="0.2">
      <c r="A12" s="23" t="str">
        <f>[1]!BexGetCellData("","00O2TQ2O5Z7FJGG1WKEQUYRBN","DP_3")</f>
        <v>(H=h1+h2+h3+h4+h5+h6+h7+h8+h9+h10+h11)</v>
      </c>
      <c r="B12" s="24">
        <f>[1]!BexGetCellData("00O2TQ2O5Z7FJGG3WNRY95GUJ","00O2TQ2O5Z7FJGG1WKEQUYRBN","DP_3")</f>
        <v>0</v>
      </c>
      <c r="C12" s="24">
        <f>[1]!BexGetCellData("00O2TQ2O5Z7FJGG3WNRY95N63","00O2TQ2O5Z7FJGG1WKEQUYRBN","DP_3")</f>
        <v>0</v>
      </c>
      <c r="D12" s="24">
        <f>[1]!BexGetCellData("00O2TQ2O5Z7FJGG3WNRY95THN","00O2TQ2O5Z7FJGG1WKEQUYRBN","DP_3")</f>
        <v>0</v>
      </c>
      <c r="E12" s="24">
        <f>[1]!BexGetCellData("00O2TQ2O5Z7FJGG3WNRY95ZT7","00O2TQ2O5Z7FJGG1WKEQUYRBN","DP_3")</f>
        <v>0</v>
      </c>
      <c r="F12" s="24">
        <f>[1]!BexGetCellData("00O2TQ2O5Z7FN7M9BTIZBOZ6Y","00O2TQ2O5Z7FJGG1WKEQUYRBN","DP_3")</f>
        <v>0</v>
      </c>
      <c r="G12" s="24">
        <f>[1]!BexGetCellData("00O2TQ2O5Z7FJGG3WNRY96CGB","00O2TQ2O5Z7FJGG1WKEQUYRBN","DP_3")</f>
        <v>0</v>
      </c>
    </row>
    <row r="13" spans="1:7" x14ac:dyDescent="0.2">
      <c r="A13" s="23" t="str">
        <f>[1]!BexGetCellData("","00O2TQ2O5Z7FJGG1WKEQUZ3YR","DP_3")</f>
        <v>h1) Fondo General de Participaciones</v>
      </c>
      <c r="B13" s="24">
        <f>[1]!BexGetCellData("00O2TQ2O5Z7FJGG3WNRY95GUJ","00O2TQ2O5Z7FJGG1WKEQUZ3YR","DP_3")</f>
        <v>0</v>
      </c>
      <c r="C13" s="24">
        <f>[1]!BexGetCellData("00O2TQ2O5Z7FJGG3WNRY95N63","00O2TQ2O5Z7FJGG1WKEQUZ3YR","DP_3")</f>
        <v>0</v>
      </c>
      <c r="D13" s="24">
        <f>[1]!BexGetCellData("00O2TQ2O5Z7FJGG3WNRY95THN","00O2TQ2O5Z7FJGG1WKEQUZ3YR","DP_3")</f>
        <v>0</v>
      </c>
      <c r="E13" s="24">
        <f>[1]!BexGetCellData("00O2TQ2O5Z7FJGG3WNRY95ZT7","00O2TQ2O5Z7FJGG1WKEQUZ3YR","DP_3")</f>
        <v>0</v>
      </c>
      <c r="F13" s="24">
        <f>[1]!BexGetCellData("00O2TQ2O5Z7FN7M9BTIZBOZ6Y","00O2TQ2O5Z7FJGG1WKEQUZ3YR","DP_3")</f>
        <v>0</v>
      </c>
      <c r="G13" s="24">
        <f>[1]!BexGetCellData("00O2TQ2O5Z7FJGG3WNRY96CGB","00O2TQ2O5Z7FJGG1WKEQUZ3YR","DP_3")</f>
        <v>0</v>
      </c>
    </row>
    <row r="14" spans="1:7" x14ac:dyDescent="0.2">
      <c r="A14" s="23" t="str">
        <f>[1]!BexGetCellData("","00O2TQ2O5Z7FJGG1WKEQUZAAB","DP_3")</f>
        <v>h2) Fondo de Fomento Municipal</v>
      </c>
      <c r="B14" s="24">
        <f>[1]!BexGetCellData("00O2TQ2O5Z7FJGG3WNRY95GUJ","00O2TQ2O5Z7FJGG1WKEQUZAAB","DP_3")</f>
        <v>0</v>
      </c>
      <c r="C14" s="24">
        <f>[1]!BexGetCellData("00O2TQ2O5Z7FJGG3WNRY95N63","00O2TQ2O5Z7FJGG1WKEQUZAAB","DP_3")</f>
        <v>0</v>
      </c>
      <c r="D14" s="24">
        <f>[1]!BexGetCellData("00O2TQ2O5Z7FJGG3WNRY95THN","00O2TQ2O5Z7FJGG1WKEQUZAAB","DP_3")</f>
        <v>0</v>
      </c>
      <c r="E14" s="24">
        <f>[1]!BexGetCellData("00O2TQ2O5Z7FJGG3WNRY95ZT7","00O2TQ2O5Z7FJGG1WKEQUZAAB","DP_3")</f>
        <v>0</v>
      </c>
      <c r="F14" s="24">
        <f>[1]!BexGetCellData("00O2TQ2O5Z7FN7M9BTIZBOZ6Y","00O2TQ2O5Z7FJGG1WKEQUZAAB","DP_3")</f>
        <v>0</v>
      </c>
      <c r="G14" s="24">
        <f>[1]!BexGetCellData("00O2TQ2O5Z7FJGG3WNRY96CGB","00O2TQ2O5Z7FJGG1WKEQUZAAB","DP_3")</f>
        <v>0</v>
      </c>
    </row>
    <row r="15" spans="1:7" x14ac:dyDescent="0.2">
      <c r="A15" s="23" t="str">
        <f>[1]!BexGetCellData("","00O2TQ2O5Z7FJGG1WKEQUZGLV","DP_3")</f>
        <v>h3) Fondo de Fiscalización y Recaudación</v>
      </c>
      <c r="B15" s="24">
        <f>[1]!BexGetCellData("00O2TQ2O5Z7FJGG3WNRY95GUJ","00O2TQ2O5Z7FJGG1WKEQUZGLV","DP_3")</f>
        <v>0</v>
      </c>
      <c r="C15" s="24">
        <f>[1]!BexGetCellData("00O2TQ2O5Z7FJGG3WNRY95N63","00O2TQ2O5Z7FJGG1WKEQUZGLV","DP_3")</f>
        <v>0</v>
      </c>
      <c r="D15" s="24">
        <f>[1]!BexGetCellData("00O2TQ2O5Z7FJGG3WNRY95THN","00O2TQ2O5Z7FJGG1WKEQUZGLV","DP_3")</f>
        <v>0</v>
      </c>
      <c r="E15" s="24">
        <f>[1]!BexGetCellData("00O2TQ2O5Z7FJGG3WNRY95ZT7","00O2TQ2O5Z7FJGG1WKEQUZGLV","DP_3")</f>
        <v>0</v>
      </c>
      <c r="F15" s="24">
        <f>[1]!BexGetCellData("00O2TQ2O5Z7FN7M9BTIZBOZ6Y","00O2TQ2O5Z7FJGG1WKEQUZGLV","DP_3")</f>
        <v>0</v>
      </c>
      <c r="G15" s="24">
        <f>[1]!BexGetCellData("00O2TQ2O5Z7FJGG3WNRY96CGB","00O2TQ2O5Z7FJGG1WKEQUZGLV","DP_3")</f>
        <v>0</v>
      </c>
    </row>
    <row r="16" spans="1:7" x14ac:dyDescent="0.2">
      <c r="A16" s="23" t="str">
        <f>[1]!BexGetCellData("","00O2TQ2O5Z7FJGG1WKEQUZMXF","DP_3")</f>
        <v>h4) Fondo de Compensación</v>
      </c>
      <c r="B16" s="24">
        <f>[1]!BexGetCellData("00O2TQ2O5Z7FJGG3WNRY95GUJ","00O2TQ2O5Z7FJGG1WKEQUZMXF","DP_3")</f>
        <v>0</v>
      </c>
      <c r="C16" s="24">
        <f>[1]!BexGetCellData("00O2TQ2O5Z7FJGG3WNRY95N63","00O2TQ2O5Z7FJGG1WKEQUZMXF","DP_3")</f>
        <v>0</v>
      </c>
      <c r="D16" s="24">
        <f>[1]!BexGetCellData("00O2TQ2O5Z7FJGG3WNRY95THN","00O2TQ2O5Z7FJGG1WKEQUZMXF","DP_3")</f>
        <v>0</v>
      </c>
      <c r="E16" s="24">
        <f>[1]!BexGetCellData("00O2TQ2O5Z7FJGG3WNRY95ZT7","00O2TQ2O5Z7FJGG1WKEQUZMXF","DP_3")</f>
        <v>0</v>
      </c>
      <c r="F16" s="24">
        <f>[1]!BexGetCellData("00O2TQ2O5Z7FN7M9BTIZBOZ6Y","00O2TQ2O5Z7FJGG1WKEQUZMXF","DP_3")</f>
        <v>0</v>
      </c>
      <c r="G16" s="24">
        <f>[1]!BexGetCellData("00O2TQ2O5Z7FJGG3WNRY96CGB","00O2TQ2O5Z7FJGG1WKEQUZMXF","DP_3")</f>
        <v>0</v>
      </c>
    </row>
    <row r="17" spans="1:7" x14ac:dyDescent="0.2">
      <c r="A17" s="23" t="str">
        <f>[1]!BexGetCellData("","00O2TQ2O5Z7DTSVQTXZHKKJ6Y","DP_3")</f>
        <v>h5) Fondo de Extracción de Hidrocarburos</v>
      </c>
      <c r="B17" s="24">
        <f>[1]!BexGetCellData("00O2TQ2O5Z7FJGG3WNRY95GUJ","00O2TQ2O5Z7DTSVQTXZHKKJ6Y","DP_3")</f>
        <v>0</v>
      </c>
      <c r="C17" s="24">
        <f>[1]!BexGetCellData("00O2TQ2O5Z7FJGG3WNRY95N63","00O2TQ2O5Z7DTSVQTXZHKKJ6Y","DP_3")</f>
        <v>0</v>
      </c>
      <c r="D17" s="24">
        <f>[1]!BexGetCellData("00O2TQ2O5Z7FJGG3WNRY95THN","00O2TQ2O5Z7DTSVQTXZHKKJ6Y","DP_3")</f>
        <v>0</v>
      </c>
      <c r="E17" s="24">
        <f>[1]!BexGetCellData("00O2TQ2O5Z7FJGG3WNRY95ZT7","00O2TQ2O5Z7DTSVQTXZHKKJ6Y","DP_3")</f>
        <v>0</v>
      </c>
      <c r="F17" s="24">
        <f>[1]!BexGetCellData("00O2TQ2O5Z7FN7M9BTIZBOZ6Y","00O2TQ2O5Z7DTSVQTXZHKKJ6Y","DP_3")</f>
        <v>0</v>
      </c>
      <c r="G17" s="24">
        <f>[1]!BexGetCellData("00O2TQ2O5Z7FJGG3WNRY96CGB","00O2TQ2O5Z7DTSVQTXZHKKJ6Y","DP_3")</f>
        <v>0</v>
      </c>
    </row>
    <row r="18" spans="1:7" x14ac:dyDescent="0.2">
      <c r="A18" s="23" t="str">
        <f>[1]!BexGetCellData("","00O2TQ2O5Z7FJGG3D3EGI926W","DP_3")</f>
        <v>h6) Impuesto Especial Sobre Producción y Servicios</v>
      </c>
      <c r="B18" s="24">
        <f>[1]!BexGetCellData("00O2TQ2O5Z7FJGG3WNRY95GUJ","00O2TQ2O5Z7FJGG3D3EGI926W","DP_3")</f>
        <v>0</v>
      </c>
      <c r="C18" s="24">
        <f>[1]!BexGetCellData("00O2TQ2O5Z7FJGG3WNRY95N63","00O2TQ2O5Z7FJGG3D3EGI926W","DP_3")</f>
        <v>0</v>
      </c>
      <c r="D18" s="24">
        <f>[1]!BexGetCellData("00O2TQ2O5Z7FJGG3WNRY95THN","00O2TQ2O5Z7FJGG3D3EGI926W","DP_3")</f>
        <v>0</v>
      </c>
      <c r="E18" s="24">
        <f>[1]!BexGetCellData("00O2TQ2O5Z7FJGG3WNRY95ZT7","00O2TQ2O5Z7FJGG3D3EGI926W","DP_3")</f>
        <v>0</v>
      </c>
      <c r="F18" s="24">
        <f>[1]!BexGetCellData("00O2TQ2O5Z7FN7M9BTIZBOZ6Y","00O2TQ2O5Z7FJGG3D3EGI926W","DP_3")</f>
        <v>0</v>
      </c>
      <c r="G18" s="24">
        <f>[1]!BexGetCellData("00O2TQ2O5Z7FJGG3WNRY96CGB","00O2TQ2O5Z7FJGG3D3EGI926W","DP_3")</f>
        <v>0</v>
      </c>
    </row>
    <row r="19" spans="1:7" x14ac:dyDescent="0.2">
      <c r="A19" s="23" t="str">
        <f>[1]!BexGetCellData("","00O2TQ2O5Z7DTSVQTXZHKKPII","DP_3")</f>
        <v>h7) 0.136% de la Recaudación Federal Participable</v>
      </c>
      <c r="B19" s="24">
        <f>[1]!BexGetCellData("00O2TQ2O5Z7FJGG3WNRY95GUJ","00O2TQ2O5Z7DTSVQTXZHKKPII","DP_3")</f>
        <v>0</v>
      </c>
      <c r="C19" s="24">
        <f>[1]!BexGetCellData("00O2TQ2O5Z7FJGG3WNRY95N63","00O2TQ2O5Z7DTSVQTXZHKKPII","DP_3")</f>
        <v>0</v>
      </c>
      <c r="D19" s="24">
        <f>[1]!BexGetCellData("00O2TQ2O5Z7FJGG3WNRY95THN","00O2TQ2O5Z7DTSVQTXZHKKPII","DP_3")</f>
        <v>0</v>
      </c>
      <c r="E19" s="24">
        <f>[1]!BexGetCellData("00O2TQ2O5Z7FJGG3WNRY95ZT7","00O2TQ2O5Z7DTSVQTXZHKKPII","DP_3")</f>
        <v>0</v>
      </c>
      <c r="F19" s="24">
        <f>[1]!BexGetCellData("00O2TQ2O5Z7FN7M9BTIZBOZ6Y","00O2TQ2O5Z7DTSVQTXZHKKPII","DP_3")</f>
        <v>0</v>
      </c>
      <c r="G19" s="24">
        <f>[1]!BexGetCellData("00O2TQ2O5Z7FJGG3WNRY96CGB","00O2TQ2O5Z7DTSVQTXZHKKPII","DP_3")</f>
        <v>0</v>
      </c>
    </row>
    <row r="20" spans="1:7" x14ac:dyDescent="0.2">
      <c r="A20" s="23" t="str">
        <f>[1]!BexGetCellData("","00O2TQ2O5Z7FJGG3D3EGI98IG","DP_3")</f>
        <v>h8) 3.17% Sobre Extracción de Petróleo</v>
      </c>
      <c r="B20" s="24">
        <f>[1]!BexGetCellData("00O2TQ2O5Z7FJGG3WNRY95GUJ","00O2TQ2O5Z7FJGG3D3EGI98IG","DP_3")</f>
        <v>0</v>
      </c>
      <c r="C20" s="24">
        <f>[1]!BexGetCellData("00O2TQ2O5Z7FJGG3WNRY95N63","00O2TQ2O5Z7FJGG3D3EGI98IG","DP_3")</f>
        <v>0</v>
      </c>
      <c r="D20" s="24">
        <f>[1]!BexGetCellData("00O2TQ2O5Z7FJGG3WNRY95THN","00O2TQ2O5Z7FJGG3D3EGI98IG","DP_3")</f>
        <v>0</v>
      </c>
      <c r="E20" s="24">
        <f>[1]!BexGetCellData("00O2TQ2O5Z7FJGG3WNRY95ZT7","00O2TQ2O5Z7FJGG3D3EGI98IG","DP_3")</f>
        <v>0</v>
      </c>
      <c r="F20" s="24">
        <f>[1]!BexGetCellData("00O2TQ2O5Z7FN7M9BTIZBOZ6Y","00O2TQ2O5Z7FJGG3D3EGI98IG","DP_3")</f>
        <v>0</v>
      </c>
      <c r="G20" s="24">
        <f>[1]!BexGetCellData("00O2TQ2O5Z7FJGG3WNRY96CGB","00O2TQ2O5Z7FJGG3D3EGI98IG","DP_3")</f>
        <v>0</v>
      </c>
    </row>
    <row r="21" spans="1:7" x14ac:dyDescent="0.2">
      <c r="A21" s="23" t="str">
        <f>[1]!BexGetCellData("","00O2TQ2O5Z7FJGG3D3EGI9EU0","DP_3")</f>
        <v>h9) Gasolinas y Diésel</v>
      </c>
      <c r="B21" s="24">
        <f>[1]!BexGetCellData("00O2TQ2O5Z7FJGG3WNRY95GUJ","00O2TQ2O5Z7FJGG3D3EGI9EU0","DP_3")</f>
        <v>0</v>
      </c>
      <c r="C21" s="24">
        <f>[1]!BexGetCellData("00O2TQ2O5Z7FJGG3WNRY95N63","00O2TQ2O5Z7FJGG3D3EGI9EU0","DP_3")</f>
        <v>0</v>
      </c>
      <c r="D21" s="24">
        <f>[1]!BexGetCellData("00O2TQ2O5Z7FJGG3WNRY95THN","00O2TQ2O5Z7FJGG3D3EGI9EU0","DP_3")</f>
        <v>0</v>
      </c>
      <c r="E21" s="24">
        <f>[1]!BexGetCellData("00O2TQ2O5Z7FJGG3WNRY95ZT7","00O2TQ2O5Z7FJGG3D3EGI9EU0","DP_3")</f>
        <v>0</v>
      </c>
      <c r="F21" s="24">
        <f>[1]!BexGetCellData("00O2TQ2O5Z7FN7M9BTIZBOZ6Y","00O2TQ2O5Z7FJGG3D3EGI9EU0","DP_3")</f>
        <v>0</v>
      </c>
      <c r="G21" s="24">
        <f>[1]!BexGetCellData("00O2TQ2O5Z7FJGG3WNRY96CGB","00O2TQ2O5Z7FJGG3D3EGI9EU0","DP_3")</f>
        <v>0</v>
      </c>
    </row>
    <row r="22" spans="1:7" x14ac:dyDescent="0.2">
      <c r="A22" s="23" t="str">
        <f>[1]!BexGetCellData("","00O2TQ2O5Z7FJGG3D3EGI9L5K","DP_3")</f>
        <v>h10) Fondo del Impuesto Sobre la Renta</v>
      </c>
      <c r="B22" s="24">
        <f>[1]!BexGetCellData("00O2TQ2O5Z7FJGG3WNRY95GUJ","00O2TQ2O5Z7FJGG3D3EGI9L5K","DP_3")</f>
        <v>0</v>
      </c>
      <c r="C22" s="24">
        <f>[1]!BexGetCellData("00O2TQ2O5Z7FJGG3WNRY95N63","00O2TQ2O5Z7FJGG3D3EGI9L5K","DP_3")</f>
        <v>0</v>
      </c>
      <c r="D22" s="24">
        <f>[1]!BexGetCellData("00O2TQ2O5Z7FJGG3WNRY95THN","00O2TQ2O5Z7FJGG3D3EGI9L5K","DP_3")</f>
        <v>0</v>
      </c>
      <c r="E22" s="24">
        <f>[1]!BexGetCellData("00O2TQ2O5Z7FJGG3WNRY95ZT7","00O2TQ2O5Z7FJGG3D3EGI9L5K","DP_3")</f>
        <v>0</v>
      </c>
      <c r="F22" s="24">
        <f>[1]!BexGetCellData("00O2TQ2O5Z7FN7M9BTIZBOZ6Y","00O2TQ2O5Z7FJGG3D3EGI9L5K","DP_3")</f>
        <v>0</v>
      </c>
      <c r="G22" s="24">
        <f>[1]!BexGetCellData("00O2TQ2O5Z7FJGG3WNRY96CGB","00O2TQ2O5Z7FJGG3D3EGI9L5K","DP_3")</f>
        <v>0</v>
      </c>
    </row>
    <row r="23" spans="1:7" x14ac:dyDescent="0.2">
      <c r="A23" s="23" t="str">
        <f>[1]!BexGetCellData("","00O2TQ2O5Z7FJGG3D3EGI9RH4","DP_3")</f>
        <v>h11) Fondo de Estabilización de los Ingresos de las Entidade</v>
      </c>
      <c r="B23" s="24">
        <f>[1]!BexGetCellData("00O2TQ2O5Z7FJGG3WNRY95GUJ","00O2TQ2O5Z7FJGG3D3EGI9RH4","DP_3")</f>
        <v>0</v>
      </c>
      <c r="C23" s="24">
        <f>[1]!BexGetCellData("00O2TQ2O5Z7FJGG3WNRY95N63","00O2TQ2O5Z7FJGG3D3EGI9RH4","DP_3")</f>
        <v>0</v>
      </c>
      <c r="D23" s="24">
        <f>[1]!BexGetCellData("00O2TQ2O5Z7FJGG3WNRY95THN","00O2TQ2O5Z7FJGG3D3EGI9RH4","DP_3")</f>
        <v>0</v>
      </c>
      <c r="E23" s="24">
        <f>[1]!BexGetCellData("00O2TQ2O5Z7FJGG3WNRY95ZT7","00O2TQ2O5Z7FJGG3D3EGI9RH4","DP_3")</f>
        <v>0</v>
      </c>
      <c r="F23" s="24">
        <f>[1]!BexGetCellData("00O2TQ2O5Z7FN7M9BTIZBOZ6Y","00O2TQ2O5Z7FJGG3D3EGI9RH4","DP_3")</f>
        <v>0</v>
      </c>
      <c r="G23" s="24">
        <f>[1]!BexGetCellData("00O2TQ2O5Z7FJGG3WNRY96CGB","00O2TQ2O5Z7FJGG3D3EGI9RH4","DP_3")</f>
        <v>0</v>
      </c>
    </row>
    <row r="24" spans="1:7" x14ac:dyDescent="0.2">
      <c r="A24" s="23" t="str">
        <f>[1]!BexGetCellData("","00O2TQ2O5Z7FJGG3D3EGI9XSO","DP_3")</f>
        <v>I. Incentivos Derivados de la Colaboración Fiscal (I=i1+i2+i</v>
      </c>
      <c r="B24" s="24">
        <f>[1]!BexGetCellData("00O2TQ2O5Z7FJGG3WNRY95GUJ","00O2TQ2O5Z7FJGG3D3EGI9XSO","DP_3")</f>
        <v>0</v>
      </c>
      <c r="C24" s="24">
        <f>[1]!BexGetCellData("00O2TQ2O5Z7FJGG3WNRY95N63","00O2TQ2O5Z7FJGG3D3EGI9XSO","DP_3")</f>
        <v>0</v>
      </c>
      <c r="D24" s="24">
        <f>[1]!BexGetCellData("00O2TQ2O5Z7FJGG3WNRY95THN","00O2TQ2O5Z7FJGG3D3EGI9XSO","DP_3")</f>
        <v>0</v>
      </c>
      <c r="E24" s="24">
        <f>[1]!BexGetCellData("00O2TQ2O5Z7FJGG3WNRY95ZT7","00O2TQ2O5Z7FJGG3D3EGI9XSO","DP_3")</f>
        <v>0</v>
      </c>
      <c r="F24" s="24">
        <f>[1]!BexGetCellData("00O2TQ2O5Z7FN7M9BTIZBOZ6Y","00O2TQ2O5Z7FJGG3D3EGI9XSO","DP_3")</f>
        <v>0</v>
      </c>
      <c r="G24" s="24">
        <f>[1]!BexGetCellData("00O2TQ2O5Z7FJGG3WNRY96CGB","00O2TQ2O5Z7FJGG3D3EGI9XSO","DP_3")</f>
        <v>0</v>
      </c>
    </row>
    <row r="25" spans="1:7" x14ac:dyDescent="0.2">
      <c r="A25" s="23" t="str">
        <f>[1]!BexGetCellData("","00O2TQ2O5Z7FJGG3D3EGIA448","DP_3")</f>
        <v>i1) Tenencia o Uso de Vehículos</v>
      </c>
      <c r="B25" s="24">
        <f>[1]!BexGetCellData("00O2TQ2O5Z7FJGG3WNRY95GUJ","00O2TQ2O5Z7FJGG3D3EGIA448","DP_3")</f>
        <v>0</v>
      </c>
      <c r="C25" s="24">
        <f>[1]!BexGetCellData("00O2TQ2O5Z7FJGG3WNRY95N63","00O2TQ2O5Z7FJGG3D3EGIA448","DP_3")</f>
        <v>0</v>
      </c>
      <c r="D25" s="24">
        <f>[1]!BexGetCellData("00O2TQ2O5Z7FJGG3WNRY95THN","00O2TQ2O5Z7FJGG3D3EGIA448","DP_3")</f>
        <v>0</v>
      </c>
      <c r="E25" s="24">
        <f>[1]!BexGetCellData("00O2TQ2O5Z7FJGG3WNRY95ZT7","00O2TQ2O5Z7FJGG3D3EGIA448","DP_3")</f>
        <v>0</v>
      </c>
      <c r="F25" s="24">
        <f>[1]!BexGetCellData("00O2TQ2O5Z7FN7M9BTIZBOZ6Y","00O2TQ2O5Z7FJGG3D3EGIA448","DP_3")</f>
        <v>0</v>
      </c>
      <c r="G25" s="24">
        <f>[1]!BexGetCellData("00O2TQ2O5Z7FJGG3WNRY96CGB","00O2TQ2O5Z7FJGG3D3EGIA448","DP_3")</f>
        <v>0</v>
      </c>
    </row>
    <row r="26" spans="1:7" x14ac:dyDescent="0.2">
      <c r="A26" s="23" t="str">
        <f>[1]!BexGetCellData("","00O2TQ2O5Z7FJGG3D3EGIAAFS","DP_3")</f>
        <v>i2) Fondo de Compensación ISAN</v>
      </c>
      <c r="B26" s="24">
        <f>[1]!BexGetCellData("00O2TQ2O5Z7FJGG3WNRY95GUJ","00O2TQ2O5Z7FJGG3D3EGIAAFS","DP_3")</f>
        <v>0</v>
      </c>
      <c r="C26" s="24">
        <f>[1]!BexGetCellData("00O2TQ2O5Z7FJGG3WNRY95N63","00O2TQ2O5Z7FJGG3D3EGIAAFS","DP_3")</f>
        <v>0</v>
      </c>
      <c r="D26" s="24">
        <f>[1]!BexGetCellData("00O2TQ2O5Z7FJGG3WNRY95THN","00O2TQ2O5Z7FJGG3D3EGIAAFS","DP_3")</f>
        <v>0</v>
      </c>
      <c r="E26" s="24">
        <f>[1]!BexGetCellData("00O2TQ2O5Z7FJGG3WNRY95ZT7","00O2TQ2O5Z7FJGG3D3EGIAAFS","DP_3")</f>
        <v>0</v>
      </c>
      <c r="F26" s="24">
        <f>[1]!BexGetCellData("00O2TQ2O5Z7FN7M9BTIZBOZ6Y","00O2TQ2O5Z7FJGG3D3EGIAAFS","DP_3")</f>
        <v>0</v>
      </c>
      <c r="G26" s="24">
        <f>[1]!BexGetCellData("00O2TQ2O5Z7FJGG3WNRY96CGB","00O2TQ2O5Z7FJGG3D3EGIAAFS","DP_3")</f>
        <v>0</v>
      </c>
    </row>
    <row r="27" spans="1:7" x14ac:dyDescent="0.2">
      <c r="A27" s="23" t="str">
        <f>[1]!BexGetCellData("","00O2TQ2O5Z7FJGG3D3EGIAGRC","DP_3")</f>
        <v>i3) Impuesto Sobre Automóviles Nuevos</v>
      </c>
      <c r="B27" s="24">
        <f>[1]!BexGetCellData("00O2TQ2O5Z7FJGG3WNRY95GUJ","00O2TQ2O5Z7FJGG3D3EGIAGRC","DP_3")</f>
        <v>0</v>
      </c>
      <c r="C27" s="24">
        <f>[1]!BexGetCellData("00O2TQ2O5Z7FJGG3WNRY95N63","00O2TQ2O5Z7FJGG3D3EGIAGRC","DP_3")</f>
        <v>0</v>
      </c>
      <c r="D27" s="24">
        <f>[1]!BexGetCellData("00O2TQ2O5Z7FJGG3WNRY95THN","00O2TQ2O5Z7FJGG3D3EGIAGRC","DP_3")</f>
        <v>0</v>
      </c>
      <c r="E27" s="24">
        <f>[1]!BexGetCellData("00O2TQ2O5Z7FJGG3WNRY95ZT7","00O2TQ2O5Z7FJGG3D3EGIAGRC","DP_3")</f>
        <v>0</v>
      </c>
      <c r="F27" s="24">
        <f>[1]!BexGetCellData("00O2TQ2O5Z7FN7M9BTIZBOZ6Y","00O2TQ2O5Z7FJGG3D3EGIAGRC","DP_3")</f>
        <v>0</v>
      </c>
      <c r="G27" s="24">
        <f>[1]!BexGetCellData("00O2TQ2O5Z7FJGG3WNRY96CGB","00O2TQ2O5Z7FJGG3D3EGIAGRC","DP_3")</f>
        <v>0</v>
      </c>
    </row>
    <row r="28" spans="1:7" x14ac:dyDescent="0.2">
      <c r="A28" s="23" t="str">
        <f>[1]!BexGetCellData("","00O2TQ2O5Z7FJGG3D3EGIAN2W","DP_3")</f>
        <v>i4) Fondo de Compensación de Repecos-Intermedios</v>
      </c>
      <c r="B28" s="24">
        <f>[1]!BexGetCellData("00O2TQ2O5Z7FJGG3WNRY95GUJ","00O2TQ2O5Z7FJGG3D3EGIAN2W","DP_3")</f>
        <v>0</v>
      </c>
      <c r="C28" s="24">
        <f>[1]!BexGetCellData("00O2TQ2O5Z7FJGG3WNRY95N63","00O2TQ2O5Z7FJGG3D3EGIAN2W","DP_3")</f>
        <v>0</v>
      </c>
      <c r="D28" s="24">
        <f>[1]!BexGetCellData("00O2TQ2O5Z7FJGG3WNRY95THN","00O2TQ2O5Z7FJGG3D3EGIAN2W","DP_3")</f>
        <v>0</v>
      </c>
      <c r="E28" s="24">
        <f>[1]!BexGetCellData("00O2TQ2O5Z7FJGG3WNRY95ZT7","00O2TQ2O5Z7FJGG3D3EGIAN2W","DP_3")</f>
        <v>0</v>
      </c>
      <c r="F28" s="24">
        <f>[1]!BexGetCellData("00O2TQ2O5Z7FN7M9BTIZBOZ6Y","00O2TQ2O5Z7FJGG3D3EGIAN2W","DP_3")</f>
        <v>0</v>
      </c>
      <c r="G28" s="24">
        <f>[1]!BexGetCellData("00O2TQ2O5Z7FJGG3WNRY96CGB","00O2TQ2O5Z7FJGG3D3EGIAN2W","DP_3")</f>
        <v>0</v>
      </c>
    </row>
    <row r="29" spans="1:7" x14ac:dyDescent="0.2">
      <c r="A29" s="23" t="str">
        <f>[1]!BexGetCellData("","00O2TQ2O5Z7FJGG3D3EGIATEG","DP_3")</f>
        <v>i5) Otros Incentivos Económicos</v>
      </c>
      <c r="B29" s="24">
        <f>[1]!BexGetCellData("00O2TQ2O5Z7FJGG3WNRY95GUJ","00O2TQ2O5Z7FJGG3D3EGIATEG","DP_3")</f>
        <v>0</v>
      </c>
      <c r="C29" s="24">
        <f>[1]!BexGetCellData("00O2TQ2O5Z7FJGG3WNRY95N63","00O2TQ2O5Z7FJGG3D3EGIATEG","DP_3")</f>
        <v>0</v>
      </c>
      <c r="D29" s="24">
        <f>[1]!BexGetCellData("00O2TQ2O5Z7FJGG3WNRY95THN","00O2TQ2O5Z7FJGG3D3EGIATEG","DP_3")</f>
        <v>0</v>
      </c>
      <c r="E29" s="24">
        <f>[1]!BexGetCellData("00O2TQ2O5Z7FJGG3WNRY95ZT7","00O2TQ2O5Z7FJGG3D3EGIATEG","DP_3")</f>
        <v>0</v>
      </c>
      <c r="F29" s="24">
        <f>[1]!BexGetCellData("00O2TQ2O5Z7FN7M9BTIZBOZ6Y","00O2TQ2O5Z7FJGG3D3EGIATEG","DP_3")</f>
        <v>0</v>
      </c>
      <c r="G29" s="24">
        <f>[1]!BexGetCellData("00O2TQ2O5Z7FJGG3WNRY96CGB","00O2TQ2O5Z7FJGG3D3EGIATEG","DP_3")</f>
        <v>0</v>
      </c>
    </row>
    <row r="30" spans="1:7" x14ac:dyDescent="0.2">
      <c r="A30" s="23" t="str">
        <f>[1]!BexGetCellData("","00O2TQ2O5Z7FJGG3D3EGIAZQ0","DP_3")</f>
        <v>J. Transferencias</v>
      </c>
      <c r="B30" s="24">
        <f>[1]!BexGetCellData("00O2TQ2O5Z7FJGG3WNRY95GUJ","00O2TQ2O5Z7FJGG3D3EGIAZQ0","DP_3")</f>
        <v>0</v>
      </c>
      <c r="C30" s="24">
        <f>[1]!BexGetCellData("00O2TQ2O5Z7FJGG3WNRY95N63","00O2TQ2O5Z7FJGG3D3EGIAZQ0","DP_3")</f>
        <v>0</v>
      </c>
      <c r="D30" s="24">
        <f>[1]!BexGetCellData("00O2TQ2O5Z7FJGG3WNRY95THN","00O2TQ2O5Z7FJGG3D3EGIAZQ0","DP_3")</f>
        <v>0</v>
      </c>
      <c r="E30" s="24">
        <f>[1]!BexGetCellData("00O2TQ2O5Z7FJGG3WNRY95ZT7","00O2TQ2O5Z7FJGG3D3EGIAZQ0","DP_3")</f>
        <v>0</v>
      </c>
      <c r="F30" s="24">
        <f>[1]!BexGetCellData("00O2TQ2O5Z7FN7M9BTIZBOZ6Y","00O2TQ2O5Z7FJGG3D3EGIAZQ0","DP_3")</f>
        <v>0</v>
      </c>
      <c r="G30" s="24">
        <f>[1]!BexGetCellData("00O2TQ2O5Z7FJGG3WNRY96CGB","00O2TQ2O5Z7FJGG3D3EGIAZQ0","DP_3")</f>
        <v>0</v>
      </c>
    </row>
    <row r="31" spans="1:7" x14ac:dyDescent="0.2">
      <c r="A31" s="23" t="str">
        <f>[1]!BexGetCellData("","00O2TQ2O5Z7FJGG3D3EGIB61K","DP_3")</f>
        <v>K. Convenios</v>
      </c>
      <c r="B31" s="24">
        <f>[1]!BexGetCellData("00O2TQ2O5Z7FJGG3WNRY95GUJ","00O2TQ2O5Z7FJGG3D3EGIB61K","DP_3")</f>
        <v>0</v>
      </c>
      <c r="C31" s="24">
        <f>[1]!BexGetCellData("00O2TQ2O5Z7FJGG3WNRY95N63","00O2TQ2O5Z7FJGG3D3EGIB61K","DP_3")</f>
        <v>0</v>
      </c>
      <c r="D31" s="24">
        <f>[1]!BexGetCellData("00O2TQ2O5Z7FJGG3WNRY95THN","00O2TQ2O5Z7FJGG3D3EGIB61K","DP_3")</f>
        <v>0</v>
      </c>
      <c r="E31" s="24">
        <f>[1]!BexGetCellData("00O2TQ2O5Z7FJGG3WNRY95ZT7","00O2TQ2O5Z7FJGG3D3EGIB61K","DP_3")</f>
        <v>0</v>
      </c>
      <c r="F31" s="24">
        <f>[1]!BexGetCellData("00O2TQ2O5Z7FN7M9BTIZBOZ6Y","00O2TQ2O5Z7FJGG3D3EGIB61K","DP_3")</f>
        <v>0</v>
      </c>
      <c r="G31" s="24">
        <f>[1]!BexGetCellData("00O2TQ2O5Z7FJGG3WNRY96CGB","00O2TQ2O5Z7FJGG3D3EGIB61K","DP_3")</f>
        <v>0</v>
      </c>
    </row>
    <row r="32" spans="1:7" x14ac:dyDescent="0.2">
      <c r="A32" s="23" t="str">
        <f>[1]!BexGetCellData("","00O2TQ2O5Z7FJGG3D3EGIBCD4","DP_3")</f>
        <v>k1) Otros Convenios y Subsidios</v>
      </c>
      <c r="B32" s="24">
        <f>[1]!BexGetCellData("00O2TQ2O5Z7FJGG3WNRY95GUJ","00O2TQ2O5Z7FJGG3D3EGIBCD4","DP_3")</f>
        <v>0</v>
      </c>
      <c r="C32" s="24">
        <f>[1]!BexGetCellData("00O2TQ2O5Z7FJGG3WNRY95N63","00O2TQ2O5Z7FJGG3D3EGIBCD4","DP_3")</f>
        <v>0</v>
      </c>
      <c r="D32" s="24">
        <f>[1]!BexGetCellData("00O2TQ2O5Z7FJGG3WNRY95THN","00O2TQ2O5Z7FJGG3D3EGIBCD4","DP_3")</f>
        <v>0</v>
      </c>
      <c r="E32" s="24">
        <f>[1]!BexGetCellData("00O2TQ2O5Z7FJGG3WNRY95ZT7","00O2TQ2O5Z7FJGG3D3EGIBCD4","DP_3")</f>
        <v>0</v>
      </c>
      <c r="F32" s="24">
        <f>[1]!BexGetCellData("00O2TQ2O5Z7FN7M9BTIZBOZ6Y","00O2TQ2O5Z7FJGG3D3EGIBCD4","DP_3")</f>
        <v>0</v>
      </c>
      <c r="G32" s="24">
        <f>[1]!BexGetCellData("00O2TQ2O5Z7FJGG3WNRY96CGB","00O2TQ2O5Z7FJGG3D3EGIBCD4","DP_3")</f>
        <v>0</v>
      </c>
    </row>
    <row r="33" spans="1:7" x14ac:dyDescent="0.2">
      <c r="A33" s="23" t="str">
        <f>[1]!BexGetCellData("","00O2TQ2O5Z7FJGG3D3EGIBIOO","DP_3")</f>
        <v>L. Otros Ingresos de Libre Disposición (L=l1+l2)</v>
      </c>
      <c r="B33" s="24">
        <f>[1]!BexGetCellData("00O2TQ2O5Z7FJGG3WNRY95GUJ","00O2TQ2O5Z7FJGG3D3EGIBIOO","DP_3")</f>
        <v>0</v>
      </c>
      <c r="C33" s="24">
        <f>[1]!BexGetCellData("00O2TQ2O5Z7FJGG3WNRY95N63","00O2TQ2O5Z7FJGG3D3EGIBIOO","DP_3")</f>
        <v>0</v>
      </c>
      <c r="D33" s="24">
        <f>[1]!BexGetCellData("00O2TQ2O5Z7FJGG3WNRY95THN","00O2TQ2O5Z7FJGG3D3EGIBIOO","DP_3")</f>
        <v>0</v>
      </c>
      <c r="E33" s="24">
        <f>[1]!BexGetCellData("00O2TQ2O5Z7FJGG3WNRY95ZT7","00O2TQ2O5Z7FJGG3D3EGIBIOO","DP_3")</f>
        <v>0</v>
      </c>
      <c r="F33" s="24">
        <f>[1]!BexGetCellData("00O2TQ2O5Z7FN7M9BTIZBOZ6Y","00O2TQ2O5Z7FJGG3D3EGIBIOO","DP_3")</f>
        <v>0</v>
      </c>
      <c r="G33" s="24">
        <f>[1]!BexGetCellData("00O2TQ2O5Z7FJGG3WNRY96CGB","00O2TQ2O5Z7FJGG3D3EGIBIOO","DP_3")</f>
        <v>0</v>
      </c>
    </row>
    <row r="34" spans="1:7" x14ac:dyDescent="0.2">
      <c r="A34" s="23" t="str">
        <f>[1]!BexGetCellData("","00O2TQ2O5Z7FJGG3D3EGIBP08","DP_3")</f>
        <v>l1) Participaciones en Ingresos Locales</v>
      </c>
      <c r="B34" s="24">
        <f>[1]!BexGetCellData("00O2TQ2O5Z7FJGG3WNRY95GUJ","00O2TQ2O5Z7FJGG3D3EGIBP08","DP_3")</f>
        <v>0</v>
      </c>
      <c r="C34" s="24">
        <f>[1]!BexGetCellData("00O2TQ2O5Z7FJGG3WNRY95N63","00O2TQ2O5Z7FJGG3D3EGIBP08","DP_3")</f>
        <v>0</v>
      </c>
      <c r="D34" s="24">
        <f>[1]!BexGetCellData("00O2TQ2O5Z7FJGG3WNRY95THN","00O2TQ2O5Z7FJGG3D3EGIBP08","DP_3")</f>
        <v>0</v>
      </c>
      <c r="E34" s="24">
        <f>[1]!BexGetCellData("00O2TQ2O5Z7FJGG3WNRY95ZT7","00O2TQ2O5Z7FJGG3D3EGIBP08","DP_3")</f>
        <v>0</v>
      </c>
      <c r="F34" s="24">
        <f>[1]!BexGetCellData("00O2TQ2O5Z7FN7M9BTIZBOZ6Y","00O2TQ2O5Z7FJGG3D3EGIBP08","DP_3")</f>
        <v>0</v>
      </c>
      <c r="G34" s="24">
        <f>[1]!BexGetCellData("00O2TQ2O5Z7FJGG3WNRY96CGB","00O2TQ2O5Z7FJGG3D3EGIBP08","DP_3")</f>
        <v>0</v>
      </c>
    </row>
    <row r="35" spans="1:7" x14ac:dyDescent="0.2">
      <c r="A35" s="23" t="str">
        <f>[1]!BexGetCellData("","00O2TQ2O5Z7FJGG3D3EGIBVBS","DP_3")</f>
        <v>l2) Otros Ingresos de Libre Disposición</v>
      </c>
      <c r="B35" s="24">
        <f>[1]!BexGetCellData("00O2TQ2O5Z7FJGG3WNRY95GUJ","00O2TQ2O5Z7FJGG3D3EGIBVBS","DP_3")</f>
        <v>0</v>
      </c>
      <c r="C35" s="24">
        <f>[1]!BexGetCellData("00O2TQ2O5Z7FJGG3WNRY95N63","00O2TQ2O5Z7FJGG3D3EGIBVBS","DP_3")</f>
        <v>0</v>
      </c>
      <c r="D35" s="24">
        <f>[1]!BexGetCellData("00O2TQ2O5Z7FJGG3WNRY95THN","00O2TQ2O5Z7FJGG3D3EGIBVBS","DP_3")</f>
        <v>0</v>
      </c>
      <c r="E35" s="24">
        <f>[1]!BexGetCellData("00O2TQ2O5Z7FJGG3WNRY95ZT7","00O2TQ2O5Z7FJGG3D3EGIBVBS","DP_3")</f>
        <v>0</v>
      </c>
      <c r="F35" s="24">
        <f>[1]!BexGetCellData("00O2TQ2O5Z7FN7M9BTIZBOZ6Y","00O2TQ2O5Z7FJGG3D3EGIBVBS","DP_3")</f>
        <v>0</v>
      </c>
      <c r="G35" s="24">
        <f>[1]!BexGetCellData("00O2TQ2O5Z7FJGG3WNRY96CGB","00O2TQ2O5Z7FJGG3D3EGIBVBS","DP_3")</f>
        <v>0</v>
      </c>
    </row>
    <row r="36" spans="1:7" x14ac:dyDescent="0.2">
      <c r="A36" s="23" t="str">
        <f>[1]!BexGetCellData("","00O2TQ2O5Z7FJGG3D3EGIC1NC","DP_3")</f>
        <v>I. Total de Ingresos de Libre Disposición</v>
      </c>
      <c r="B36" s="24">
        <f>[1]!BexGetCellData("00O2TQ2O5Z7FJGG3WNRY95GUJ","00O2TQ2O5Z7FJGG3D3EGIC1NC","DP_3")</f>
        <v>0</v>
      </c>
      <c r="C36" s="24">
        <f>[1]!BexGetCellData("00O2TQ2O5Z7FJGG3WNRY95N63","00O2TQ2O5Z7FJGG3D3EGIC1NC","DP_3")</f>
        <v>0</v>
      </c>
      <c r="D36" s="24">
        <f>[1]!BexGetCellData("00O2TQ2O5Z7FJGG3WNRY95THN","00O2TQ2O5Z7FJGG3D3EGIC1NC","DP_3")</f>
        <v>0</v>
      </c>
      <c r="E36" s="24">
        <f>[1]!BexGetCellData("00O2TQ2O5Z7FJGG3WNRY95ZT7","00O2TQ2O5Z7FJGG3D3EGIC1NC","DP_3")</f>
        <v>0</v>
      </c>
      <c r="F36" s="24">
        <f>[1]!BexGetCellData("00O2TQ2O5Z7FN7M9BTIZBOZ6Y","00O2TQ2O5Z7FJGG3D3EGIC1NC","DP_3")</f>
        <v>0</v>
      </c>
      <c r="G36" s="24">
        <f>[1]!BexGetCellData("00O2TQ2O5Z7FJGG3WNRY96CGB","00O2TQ2O5Z7FJGG3D3EGIC1NC","DP_3")</f>
        <v>0</v>
      </c>
    </row>
    <row r="37" spans="1:7" x14ac:dyDescent="0.2">
      <c r="A37" s="23" t="str">
        <f>[1]!BexGetCellData("","00O2TQ2O5Z7DTYUFQ6TOJQE46","DP_3")</f>
        <v>Ingresos Excedentes de Ingresos de Libre Disposición</v>
      </c>
      <c r="B37" s="24">
        <f>[1]!BexGetCellData("00O2TQ2O5Z7FJGG3WNRY95GUJ","00O2TQ2O5Z7DTYUFQ6TOJQE46","DP_3")</f>
        <v>0</v>
      </c>
      <c r="C37" s="24">
        <f>[1]!BexGetCellData("00O2TQ2O5Z7FJGG3WNRY95N63","00O2TQ2O5Z7DTYUFQ6TOJQE46","DP_3")</f>
        <v>0</v>
      </c>
      <c r="D37" s="24">
        <f>[1]!BexGetCellData("00O2TQ2O5Z7FJGG3WNRY95THN","00O2TQ2O5Z7DTYUFQ6TOJQE46","DP_3")</f>
        <v>0</v>
      </c>
      <c r="E37" s="24">
        <f>[1]!BexGetCellData("00O2TQ2O5Z7FJGG3WNRY95ZT7","00O2TQ2O5Z7DTYUFQ6TOJQE46","DP_3")</f>
        <v>0</v>
      </c>
      <c r="F37" s="24">
        <f>[1]!BexGetCellData("00O2TQ2O5Z7FN7M9BTIZBOZ6Y","00O2TQ2O5Z7DTYUFQ6TOJQE46","DP_3")</f>
        <v>0</v>
      </c>
      <c r="G37" s="24">
        <f>[1]!BexGetCellData("00O2TQ2O5Z7FJGG3WNRY96CGB","00O2TQ2O5Z7DTYUFQ6TOJQE46","DP_3")</f>
        <v>0</v>
      </c>
    </row>
    <row r="38" spans="1:7" x14ac:dyDescent="0.2">
      <c r="A38" s="23" t="str">
        <f>[1]!BexGetCellData("","00O2TQ2O5Z7FJGG3D3EGICEAG","DP_3")</f>
        <v>Transferencias Federales Etiquetadas</v>
      </c>
      <c r="B38" s="24">
        <f>[1]!BexGetCellData("00O2TQ2O5Z7FJGG3WNRY95GUJ","00O2TQ2O5Z7FJGG3D3EGICEAG","DP_3")</f>
        <v>0</v>
      </c>
      <c r="C38" s="24">
        <f>[1]!BexGetCellData("00O2TQ2O5Z7FJGG3WNRY95N63","00O2TQ2O5Z7FJGG3D3EGICEAG","DP_3")</f>
        <v>0</v>
      </c>
      <c r="D38" s="24">
        <f>[1]!BexGetCellData("00O2TQ2O5Z7FJGG3WNRY95THN","00O2TQ2O5Z7FJGG3D3EGICEAG","DP_3")</f>
        <v>0</v>
      </c>
      <c r="E38" s="24">
        <f>[1]!BexGetCellData("00O2TQ2O5Z7FJGG3WNRY95ZT7","00O2TQ2O5Z7FJGG3D3EGICEAG","DP_3")</f>
        <v>0</v>
      </c>
      <c r="F38" s="24">
        <f>[1]!BexGetCellData("00O2TQ2O5Z7FN7M9BTIZBOZ6Y","00O2TQ2O5Z7FJGG3D3EGICEAG","DP_3")</f>
        <v>0</v>
      </c>
      <c r="G38" s="24">
        <f>[1]!BexGetCellData("00O2TQ2O5Z7FJGG3WNRY96CGB","00O2TQ2O5Z7FJGG3D3EGICEAG","DP_3")</f>
        <v>0</v>
      </c>
    </row>
    <row r="39" spans="1:7" x14ac:dyDescent="0.2">
      <c r="A39" s="23" t="str">
        <f>[1]!BexGetCellData("","00O2TQ2O5Z7FJGG3D3EGICKM0","DP_3")</f>
        <v>A. Aportaciones (A=a1+a2+a3+a4+a5+a6+a7+a8)</v>
      </c>
      <c r="B39" s="24">
        <f>[1]!BexGetCellData("00O2TQ2O5Z7FJGG3WNRY95GUJ","00O2TQ2O5Z7FJGG3D3EGICKM0","DP_3")</f>
        <v>0</v>
      </c>
      <c r="C39" s="24">
        <f>[1]!BexGetCellData("00O2TQ2O5Z7FJGG3WNRY95N63","00O2TQ2O5Z7FJGG3D3EGICKM0","DP_3")</f>
        <v>0</v>
      </c>
      <c r="D39" s="24">
        <f>[1]!BexGetCellData("00O2TQ2O5Z7FJGG3WNRY95THN","00O2TQ2O5Z7FJGG3D3EGICKM0","DP_3")</f>
        <v>0</v>
      </c>
      <c r="E39" s="24">
        <f>[1]!BexGetCellData("00O2TQ2O5Z7FJGG3WNRY95ZT7","00O2TQ2O5Z7FJGG3D3EGICKM0","DP_3")</f>
        <v>0</v>
      </c>
      <c r="F39" s="24">
        <f>[1]!BexGetCellData("00O2TQ2O5Z7FN7M9BTIZBOZ6Y","00O2TQ2O5Z7FJGG3D3EGICKM0","DP_3")</f>
        <v>0</v>
      </c>
      <c r="G39" s="24">
        <f>[1]!BexGetCellData("00O2TQ2O5Z7FJGG3WNRY96CGB","00O2TQ2O5Z7FJGG3D3EGICKM0","DP_3")</f>
        <v>0</v>
      </c>
    </row>
    <row r="40" spans="1:7" x14ac:dyDescent="0.2">
      <c r="A40" s="23" t="str">
        <f>[1]!BexGetCellData("","00O2TQ2O5Z7FJGG3D3EGICQXK","DP_3")</f>
        <v>a1) Fondo de Aportaciones para la Nómina Educativa y Gasto O</v>
      </c>
      <c r="B40" s="24">
        <f>[1]!BexGetCellData("00O2TQ2O5Z7FJGG3WNRY95GUJ","00O2TQ2O5Z7FJGG3D3EGICQXK","DP_3")</f>
        <v>0</v>
      </c>
      <c r="C40" s="24">
        <f>[1]!BexGetCellData("00O2TQ2O5Z7FJGG3WNRY95N63","00O2TQ2O5Z7FJGG3D3EGICQXK","DP_3")</f>
        <v>0</v>
      </c>
      <c r="D40" s="24">
        <f>[1]!BexGetCellData("00O2TQ2O5Z7FJGG3WNRY95THN","00O2TQ2O5Z7FJGG3D3EGICQXK","DP_3")</f>
        <v>0</v>
      </c>
      <c r="E40" s="24">
        <f>[1]!BexGetCellData("00O2TQ2O5Z7FJGG3WNRY95ZT7","00O2TQ2O5Z7FJGG3D3EGICQXK","DP_3")</f>
        <v>0</v>
      </c>
      <c r="F40" s="24">
        <f>[1]!BexGetCellData("00O2TQ2O5Z7FN7M9BTIZBOZ6Y","00O2TQ2O5Z7FJGG3D3EGICQXK","DP_3")</f>
        <v>0</v>
      </c>
      <c r="G40" s="24">
        <f>[1]!BexGetCellData("00O2TQ2O5Z7FJGG3WNRY96CGB","00O2TQ2O5Z7FJGG3D3EGICQXK","DP_3")</f>
        <v>0</v>
      </c>
    </row>
    <row r="41" spans="1:7" x14ac:dyDescent="0.2">
      <c r="A41" s="23" t="str">
        <f>[1]!BexGetCellData("","00O2TQ2O5Z7FJGG3D3EGICX94","DP_3")</f>
        <v>a2) Fondo de Aportaciones para los Servicios de Salud</v>
      </c>
      <c r="B41" s="24">
        <f>[1]!BexGetCellData("00O2TQ2O5Z7FJGG3WNRY95GUJ","00O2TQ2O5Z7FJGG3D3EGICX94","DP_3")</f>
        <v>0</v>
      </c>
      <c r="C41" s="24">
        <f>[1]!BexGetCellData("00O2TQ2O5Z7FJGG3WNRY95N63","00O2TQ2O5Z7FJGG3D3EGICX94","DP_3")</f>
        <v>0</v>
      </c>
      <c r="D41" s="24">
        <f>[1]!BexGetCellData("00O2TQ2O5Z7FJGG3WNRY95THN","00O2TQ2O5Z7FJGG3D3EGICX94","DP_3")</f>
        <v>0</v>
      </c>
      <c r="E41" s="24">
        <f>[1]!BexGetCellData("00O2TQ2O5Z7FJGG3WNRY95ZT7","00O2TQ2O5Z7FJGG3D3EGICX94","DP_3")</f>
        <v>0</v>
      </c>
      <c r="F41" s="24">
        <f>[1]!BexGetCellData("00O2TQ2O5Z7FN7M9BTIZBOZ6Y","00O2TQ2O5Z7FJGG3D3EGICX94","DP_3")</f>
        <v>0</v>
      </c>
      <c r="G41" s="24">
        <f>[1]!BexGetCellData("00O2TQ2O5Z7FJGG3WNRY96CGB","00O2TQ2O5Z7FJGG3D3EGICX94","DP_3")</f>
        <v>0</v>
      </c>
    </row>
    <row r="42" spans="1:7" x14ac:dyDescent="0.2">
      <c r="A42" s="23" t="str">
        <f>[1]!BexGetCellData("","00O2TQ2O5Z7FJGG3D3EGID3KO","DP_3")</f>
        <v>a3) Fondo de Aportaciones para la Infraestructura Social</v>
      </c>
      <c r="B42" s="24">
        <f>[1]!BexGetCellData("00O2TQ2O5Z7FJGG3WNRY95GUJ","00O2TQ2O5Z7FJGG3D3EGID3KO","DP_3")</f>
        <v>0</v>
      </c>
      <c r="C42" s="24">
        <f>[1]!BexGetCellData("00O2TQ2O5Z7FJGG3WNRY95N63","00O2TQ2O5Z7FJGG3D3EGID3KO","DP_3")</f>
        <v>0</v>
      </c>
      <c r="D42" s="24">
        <f>[1]!BexGetCellData("00O2TQ2O5Z7FJGG3WNRY95THN","00O2TQ2O5Z7FJGG3D3EGID3KO","DP_3")</f>
        <v>0</v>
      </c>
      <c r="E42" s="24">
        <f>[1]!BexGetCellData("00O2TQ2O5Z7FJGG3WNRY95ZT7","00O2TQ2O5Z7FJGG3D3EGID3KO","DP_3")</f>
        <v>0</v>
      </c>
      <c r="F42" s="24">
        <f>[1]!BexGetCellData("00O2TQ2O5Z7FN7M9BTIZBOZ6Y","00O2TQ2O5Z7FJGG3D3EGID3KO","DP_3")</f>
        <v>0</v>
      </c>
      <c r="G42" s="24">
        <f>[1]!BexGetCellData("00O2TQ2O5Z7FJGG3WNRY96CGB","00O2TQ2O5Z7FJGG3D3EGID3KO","DP_3")</f>
        <v>0</v>
      </c>
    </row>
    <row r="43" spans="1:7" x14ac:dyDescent="0.2">
      <c r="A43" s="23" t="str">
        <f>[1]!BexGetCellData("","00O2TQ2O5Z7FJGG3D3EGID9W8","DP_3")</f>
        <v>a4) Fondo de Aportaciones para el Fortalecimiento de los Mun</v>
      </c>
      <c r="B43" s="24">
        <f>[1]!BexGetCellData("00O2TQ2O5Z7FJGG3WNRY95GUJ","00O2TQ2O5Z7FJGG3D3EGID9W8","DP_3")</f>
        <v>0</v>
      </c>
      <c r="C43" s="24">
        <f>[1]!BexGetCellData("00O2TQ2O5Z7FJGG3WNRY95N63","00O2TQ2O5Z7FJGG3D3EGID9W8","DP_3")</f>
        <v>0</v>
      </c>
      <c r="D43" s="24">
        <f>[1]!BexGetCellData("00O2TQ2O5Z7FJGG3WNRY95THN","00O2TQ2O5Z7FJGG3D3EGID9W8","DP_3")</f>
        <v>0</v>
      </c>
      <c r="E43" s="24">
        <f>[1]!BexGetCellData("00O2TQ2O5Z7FJGG3WNRY95ZT7","00O2TQ2O5Z7FJGG3D3EGID9W8","DP_3")</f>
        <v>0</v>
      </c>
      <c r="F43" s="24">
        <f>[1]!BexGetCellData("00O2TQ2O5Z7FN7M9BTIZBOZ6Y","00O2TQ2O5Z7FJGG3D3EGID9W8","DP_3")</f>
        <v>0</v>
      </c>
      <c r="G43" s="24">
        <f>[1]!BexGetCellData("00O2TQ2O5Z7FJGG3WNRY96CGB","00O2TQ2O5Z7FJGG3D3EGID9W8","DP_3")</f>
        <v>0</v>
      </c>
    </row>
    <row r="44" spans="1:7" x14ac:dyDescent="0.2">
      <c r="A44" s="23" t="str">
        <f>[1]!BexGetCellData("","00O2TQ2O5Z7FJGG3D3EGIDG7S","DP_3")</f>
        <v>a5) Fondo de Aportaciones Múltiples</v>
      </c>
      <c r="B44" s="24">
        <f>[1]!BexGetCellData("00O2TQ2O5Z7FJGG3WNRY95GUJ","00O2TQ2O5Z7FJGG3D3EGIDG7S","DP_3")</f>
        <v>0</v>
      </c>
      <c r="C44" s="24">
        <f>[1]!BexGetCellData("00O2TQ2O5Z7FJGG3WNRY95N63","00O2TQ2O5Z7FJGG3D3EGIDG7S","DP_3")</f>
        <v>0</v>
      </c>
      <c r="D44" s="24">
        <f>[1]!BexGetCellData("00O2TQ2O5Z7FJGG3WNRY95THN","00O2TQ2O5Z7FJGG3D3EGIDG7S","DP_3")</f>
        <v>0</v>
      </c>
      <c r="E44" s="24">
        <f>[1]!BexGetCellData("00O2TQ2O5Z7FJGG3WNRY95ZT7","00O2TQ2O5Z7FJGG3D3EGIDG7S","DP_3")</f>
        <v>0</v>
      </c>
      <c r="F44" s="24">
        <f>[1]!BexGetCellData("00O2TQ2O5Z7FN7M9BTIZBOZ6Y","00O2TQ2O5Z7FJGG3D3EGIDG7S","DP_3")</f>
        <v>0</v>
      </c>
      <c r="G44" s="24">
        <f>[1]!BexGetCellData("00O2TQ2O5Z7FJGG3WNRY96CGB","00O2TQ2O5Z7FJGG3D3EGIDG7S","DP_3")</f>
        <v>0</v>
      </c>
    </row>
    <row r="45" spans="1:7" x14ac:dyDescent="0.2">
      <c r="A45" s="23" t="str">
        <f>[1]!BexGetCellData("","00O2TQ2O5Z7FJGG3D3EGIDMJC","DP_3")</f>
        <v>a6) Fondo de Aportaciones para la Educación Tecnológica y de</v>
      </c>
      <c r="B45" s="24">
        <f>[1]!BexGetCellData("00O2TQ2O5Z7FJGG3WNRY95GUJ","00O2TQ2O5Z7FJGG3D3EGIDMJC","DP_3")</f>
        <v>0</v>
      </c>
      <c r="C45" s="24">
        <f>[1]!BexGetCellData("00O2TQ2O5Z7FJGG3WNRY95N63","00O2TQ2O5Z7FJGG3D3EGIDMJC","DP_3")</f>
        <v>0</v>
      </c>
      <c r="D45" s="24">
        <f>[1]!BexGetCellData("00O2TQ2O5Z7FJGG3WNRY95THN","00O2TQ2O5Z7FJGG3D3EGIDMJC","DP_3")</f>
        <v>0</v>
      </c>
      <c r="E45" s="24">
        <f>[1]!BexGetCellData("00O2TQ2O5Z7FJGG3WNRY95ZT7","00O2TQ2O5Z7FJGG3D3EGIDMJC","DP_3")</f>
        <v>0</v>
      </c>
      <c r="F45" s="24">
        <f>[1]!BexGetCellData("00O2TQ2O5Z7FN7M9BTIZBOZ6Y","00O2TQ2O5Z7FJGG3D3EGIDMJC","DP_3")</f>
        <v>0</v>
      </c>
      <c r="G45" s="24">
        <f>[1]!BexGetCellData("00O2TQ2O5Z7FJGG3WNRY96CGB","00O2TQ2O5Z7FJGG3D3EGIDMJC","DP_3")</f>
        <v>0</v>
      </c>
    </row>
    <row r="46" spans="1:7" x14ac:dyDescent="0.2">
      <c r="A46" s="23" t="str">
        <f>[1]!BexGetCellData("","00O2TQ2O5Z7FJGG3D3EGIDSUW","DP_3")</f>
        <v>a7) Fondo de Aportaciones para la Seguridad Pública de los E</v>
      </c>
      <c r="B46" s="24">
        <f>[1]!BexGetCellData("00O2TQ2O5Z7FJGG3WNRY95GUJ","00O2TQ2O5Z7FJGG3D3EGIDSUW","DP_3")</f>
        <v>0</v>
      </c>
      <c r="C46" s="24">
        <f>[1]!BexGetCellData("00O2TQ2O5Z7FJGG3WNRY95N63","00O2TQ2O5Z7FJGG3D3EGIDSUW","DP_3")</f>
        <v>0</v>
      </c>
      <c r="D46" s="24">
        <f>[1]!BexGetCellData("00O2TQ2O5Z7FJGG3WNRY95THN","00O2TQ2O5Z7FJGG3D3EGIDSUW","DP_3")</f>
        <v>0</v>
      </c>
      <c r="E46" s="24">
        <f>[1]!BexGetCellData("00O2TQ2O5Z7FJGG3WNRY95ZT7","00O2TQ2O5Z7FJGG3D3EGIDSUW","DP_3")</f>
        <v>0</v>
      </c>
      <c r="F46" s="24">
        <f>[1]!BexGetCellData("00O2TQ2O5Z7FN7M9BTIZBOZ6Y","00O2TQ2O5Z7FJGG3D3EGIDSUW","DP_3")</f>
        <v>0</v>
      </c>
      <c r="G46" s="24">
        <f>[1]!BexGetCellData("00O2TQ2O5Z7FJGG3WNRY96CGB","00O2TQ2O5Z7FJGG3D3EGIDSUW","DP_3")</f>
        <v>0</v>
      </c>
    </row>
    <row r="47" spans="1:7" x14ac:dyDescent="0.2">
      <c r="A47" s="23" t="str">
        <f>[1]!BexGetCellData("","00O2TQ2O5Z7FJGG3D3EGIDZ6G","DP_3")</f>
        <v>a8) Fondo de Aportaciones para el Fortalecimiento de las Ent</v>
      </c>
      <c r="B47" s="24">
        <f>[1]!BexGetCellData("00O2TQ2O5Z7FJGG3WNRY95GUJ","00O2TQ2O5Z7FJGG3D3EGIDZ6G","DP_3")</f>
        <v>0</v>
      </c>
      <c r="C47" s="24">
        <f>[1]!BexGetCellData("00O2TQ2O5Z7FJGG3WNRY95N63","00O2TQ2O5Z7FJGG3D3EGIDZ6G","DP_3")</f>
        <v>0</v>
      </c>
      <c r="D47" s="24">
        <f>[1]!BexGetCellData("00O2TQ2O5Z7FJGG3WNRY95THN","00O2TQ2O5Z7FJGG3D3EGIDZ6G","DP_3")</f>
        <v>0</v>
      </c>
      <c r="E47" s="24">
        <f>[1]!BexGetCellData("00O2TQ2O5Z7FJGG3WNRY95ZT7","00O2TQ2O5Z7FJGG3D3EGIDZ6G","DP_3")</f>
        <v>0</v>
      </c>
      <c r="F47" s="24">
        <f>[1]!BexGetCellData("00O2TQ2O5Z7FN7M9BTIZBOZ6Y","00O2TQ2O5Z7FJGG3D3EGIDZ6G","DP_3")</f>
        <v>0</v>
      </c>
      <c r="G47" s="24">
        <f>[1]!BexGetCellData("00O2TQ2O5Z7FJGG3WNRY96CGB","00O2TQ2O5Z7FJGG3D3EGIDZ6G","DP_3")</f>
        <v>0</v>
      </c>
    </row>
    <row r="48" spans="1:7" x14ac:dyDescent="0.2">
      <c r="A48" s="23" t="str">
        <f>[1]!BexGetCellData("","00O2TQ2O5Z7FJGG3QVRA3WD4O","DP_3")</f>
        <v>B. Convenios (B=b1+b2+b3+b4)</v>
      </c>
      <c r="B48" s="24">
        <f>[1]!BexGetCellData("00O2TQ2O5Z7FJGG3WNRY95GUJ","00O2TQ2O5Z7FJGG3QVRA3WD4O","DP_3")</f>
        <v>0</v>
      </c>
      <c r="C48" s="24">
        <f>[1]!BexGetCellData("00O2TQ2O5Z7FJGG3WNRY95N63","00O2TQ2O5Z7FJGG3QVRA3WD4O","DP_3")</f>
        <v>0</v>
      </c>
      <c r="D48" s="24">
        <f>[1]!BexGetCellData("00O2TQ2O5Z7FJGG3WNRY95THN","00O2TQ2O5Z7FJGG3QVRA3WD4O","DP_3")</f>
        <v>0</v>
      </c>
      <c r="E48" s="24">
        <f>[1]!BexGetCellData("00O2TQ2O5Z7FJGG3WNRY95ZT7","00O2TQ2O5Z7FJGG3QVRA3WD4O","DP_3")</f>
        <v>0</v>
      </c>
      <c r="F48" s="24">
        <f>[1]!BexGetCellData("00O2TQ2O5Z7FN7M9BTIZBOZ6Y","00O2TQ2O5Z7FJGG3QVRA3WD4O","DP_3")</f>
        <v>0</v>
      </c>
      <c r="G48" s="24">
        <f>[1]!BexGetCellData("00O2TQ2O5Z7FJGG3WNRY96CGB","00O2TQ2O5Z7FJGG3QVRA3WD4O","DP_3")</f>
        <v>0</v>
      </c>
    </row>
    <row r="49" spans="1:7" x14ac:dyDescent="0.2">
      <c r="A49" s="23" t="str">
        <f>[1]!BexGetCellData("","00O2TQ2O5Z7FJGG3QVRA3WJG8","DP_3")</f>
        <v>b1) Convenios de Protección Social en Salud</v>
      </c>
      <c r="B49" s="24">
        <f>[1]!BexGetCellData("00O2TQ2O5Z7FJGG3WNRY95GUJ","00O2TQ2O5Z7FJGG3QVRA3WJG8","DP_3")</f>
        <v>0</v>
      </c>
      <c r="C49" s="24">
        <f>[1]!BexGetCellData("00O2TQ2O5Z7FJGG3WNRY95N63","00O2TQ2O5Z7FJGG3QVRA3WJG8","DP_3")</f>
        <v>0</v>
      </c>
      <c r="D49" s="24">
        <f>[1]!BexGetCellData("00O2TQ2O5Z7FJGG3WNRY95THN","00O2TQ2O5Z7FJGG3QVRA3WJG8","DP_3")</f>
        <v>0</v>
      </c>
      <c r="E49" s="24">
        <f>[1]!BexGetCellData("00O2TQ2O5Z7FJGG3WNRY95ZT7","00O2TQ2O5Z7FJGG3QVRA3WJG8","DP_3")</f>
        <v>0</v>
      </c>
      <c r="F49" s="24">
        <f>[1]!BexGetCellData("00O2TQ2O5Z7FN7M9BTIZBOZ6Y","00O2TQ2O5Z7FJGG3QVRA3WJG8","DP_3")</f>
        <v>0</v>
      </c>
      <c r="G49" s="24">
        <f>[1]!BexGetCellData("00O2TQ2O5Z7FJGG3WNRY96CGB","00O2TQ2O5Z7FJGG3QVRA3WJG8","DP_3")</f>
        <v>0</v>
      </c>
    </row>
    <row r="50" spans="1:7" x14ac:dyDescent="0.2">
      <c r="A50" s="23" t="str">
        <f>[1]!BexGetCellData("","00O2TQ2O5Z7FJGG3QVRA3WPRS","DP_3")</f>
        <v>b2) Convenios de Descentralización</v>
      </c>
      <c r="B50" s="24">
        <f>[1]!BexGetCellData("00O2TQ2O5Z7FJGG3WNRY95GUJ","00O2TQ2O5Z7FJGG3QVRA3WPRS","DP_3")</f>
        <v>0</v>
      </c>
      <c r="C50" s="24">
        <f>[1]!BexGetCellData("00O2TQ2O5Z7FJGG3WNRY95N63","00O2TQ2O5Z7FJGG3QVRA3WPRS","DP_3")</f>
        <v>0</v>
      </c>
      <c r="D50" s="24">
        <f>[1]!BexGetCellData("00O2TQ2O5Z7FJGG3WNRY95THN","00O2TQ2O5Z7FJGG3QVRA3WPRS","DP_3")</f>
        <v>0</v>
      </c>
      <c r="E50" s="24">
        <f>[1]!BexGetCellData("00O2TQ2O5Z7FJGG3WNRY95ZT7","00O2TQ2O5Z7FJGG3QVRA3WPRS","DP_3")</f>
        <v>0</v>
      </c>
      <c r="F50" s="24">
        <f>[1]!BexGetCellData("00O2TQ2O5Z7FN7M9BTIZBOZ6Y","00O2TQ2O5Z7FJGG3QVRA3WPRS","DP_3")</f>
        <v>0</v>
      </c>
      <c r="G50" s="24">
        <f>[1]!BexGetCellData("00O2TQ2O5Z7FJGG3WNRY96CGB","00O2TQ2O5Z7FJGG3QVRA3WPRS","DP_3")</f>
        <v>0</v>
      </c>
    </row>
    <row r="51" spans="1:7" x14ac:dyDescent="0.2">
      <c r="A51" s="23" t="str">
        <f>[1]!BexGetCellData("","00O2TQ2O5Z7FJGG3D3EGIE5I0","DP_3")</f>
        <v>b3) Convenios de Reasignación</v>
      </c>
      <c r="B51" s="24">
        <f>[1]!BexGetCellData("00O2TQ2O5Z7FJGG3WNRY95GUJ","00O2TQ2O5Z7FJGG3D3EGIE5I0","DP_3")</f>
        <v>0</v>
      </c>
      <c r="C51" s="24">
        <f>[1]!BexGetCellData("00O2TQ2O5Z7FJGG3WNRY95N63","00O2TQ2O5Z7FJGG3D3EGIE5I0","DP_3")</f>
        <v>0</v>
      </c>
      <c r="D51" s="24">
        <f>[1]!BexGetCellData("00O2TQ2O5Z7FJGG3WNRY95THN","00O2TQ2O5Z7FJGG3D3EGIE5I0","DP_3")</f>
        <v>0</v>
      </c>
      <c r="E51" s="24">
        <f>[1]!BexGetCellData("00O2TQ2O5Z7FJGG3WNRY95ZT7","00O2TQ2O5Z7FJGG3D3EGIE5I0","DP_3")</f>
        <v>0</v>
      </c>
      <c r="F51" s="24">
        <f>[1]!BexGetCellData("00O2TQ2O5Z7FN7M9BTIZBOZ6Y","00O2TQ2O5Z7FJGG3D3EGIE5I0","DP_3")</f>
        <v>0</v>
      </c>
      <c r="G51" s="24">
        <f>[1]!BexGetCellData("00O2TQ2O5Z7FJGG3WNRY96CGB","00O2TQ2O5Z7FJGG3D3EGIE5I0","DP_3")</f>
        <v>0</v>
      </c>
    </row>
    <row r="52" spans="1:7" x14ac:dyDescent="0.2">
      <c r="A52" s="23" t="str">
        <f>[1]!BexGetCellData("","00O2TQ2O5Z7FJGG3QVRA3WW3C","DP_3")</f>
        <v>b4) Otros Convenios y Subsidios</v>
      </c>
      <c r="B52" s="24">
        <f>[1]!BexGetCellData("00O2TQ2O5Z7FJGG3WNRY95GUJ","00O2TQ2O5Z7FJGG3QVRA3WW3C","DP_3")</f>
        <v>0</v>
      </c>
      <c r="C52" s="24">
        <f>[1]!BexGetCellData("00O2TQ2O5Z7FJGG3WNRY95N63","00O2TQ2O5Z7FJGG3QVRA3WW3C","DP_3")</f>
        <v>0</v>
      </c>
      <c r="D52" s="24">
        <f>[1]!BexGetCellData("00O2TQ2O5Z7FJGG3WNRY95THN","00O2TQ2O5Z7FJGG3QVRA3WW3C","DP_3")</f>
        <v>0</v>
      </c>
      <c r="E52" s="24">
        <f>[1]!BexGetCellData("00O2TQ2O5Z7FJGG3WNRY95ZT7","00O2TQ2O5Z7FJGG3QVRA3WW3C","DP_3")</f>
        <v>0</v>
      </c>
      <c r="F52" s="24">
        <f>[1]!BexGetCellData("00O2TQ2O5Z7FN7M9BTIZBOZ6Y","00O2TQ2O5Z7FJGG3QVRA3WW3C","DP_3")</f>
        <v>0</v>
      </c>
      <c r="G52" s="24">
        <f>[1]!BexGetCellData("00O2TQ2O5Z7FJGG3WNRY96CGB","00O2TQ2O5Z7FJGG3QVRA3WW3C","DP_3")</f>
        <v>0</v>
      </c>
    </row>
    <row r="53" spans="1:7" x14ac:dyDescent="0.2">
      <c r="A53" s="23" t="str">
        <f>[1]!BexGetCellData("","00O2TQ2O5Z7FJGG3QVRA3X2EW","DP_3")</f>
        <v>C. Fondos Distintos de Aportaciones (C=c1+c2)</v>
      </c>
      <c r="B53" s="24">
        <f>[1]!BexGetCellData("00O2TQ2O5Z7FJGG3WNRY95GUJ","00O2TQ2O5Z7FJGG3QVRA3X2EW","DP_3")</f>
        <v>0</v>
      </c>
      <c r="C53" s="24">
        <f>[1]!BexGetCellData("00O2TQ2O5Z7FJGG3WNRY95N63","00O2TQ2O5Z7FJGG3QVRA3X2EW","DP_3")</f>
        <v>0</v>
      </c>
      <c r="D53" s="24">
        <f>[1]!BexGetCellData("00O2TQ2O5Z7FJGG3WNRY95THN","00O2TQ2O5Z7FJGG3QVRA3X2EW","DP_3")</f>
        <v>0</v>
      </c>
      <c r="E53" s="24">
        <f>[1]!BexGetCellData("00O2TQ2O5Z7FJGG3WNRY95ZT7","00O2TQ2O5Z7FJGG3QVRA3X2EW","DP_3")</f>
        <v>0</v>
      </c>
      <c r="F53" s="24">
        <f>[1]!BexGetCellData("00O2TQ2O5Z7FN7M9BTIZBOZ6Y","00O2TQ2O5Z7FJGG3QVRA3X2EW","DP_3")</f>
        <v>0</v>
      </c>
      <c r="G53" s="24">
        <f>[1]!BexGetCellData("00O2TQ2O5Z7FJGG3WNRY96CGB","00O2TQ2O5Z7FJGG3QVRA3X2EW","DP_3")</f>
        <v>0</v>
      </c>
    </row>
    <row r="54" spans="1:7" x14ac:dyDescent="0.2">
      <c r="A54" s="23" t="str">
        <f>[1]!BexGetCellData("","00O2TQ2O5Z7FJGG3QVRA3X8QG","DP_3")</f>
        <v>c1) Fondo para Entidades Federativas y Municipios Productore</v>
      </c>
      <c r="B54" s="24">
        <f>[1]!BexGetCellData("00O2TQ2O5Z7FJGG3WNRY95GUJ","00O2TQ2O5Z7FJGG3QVRA3X8QG","DP_3")</f>
        <v>0</v>
      </c>
      <c r="C54" s="24">
        <f>[1]!BexGetCellData("00O2TQ2O5Z7FJGG3WNRY95N63","00O2TQ2O5Z7FJGG3QVRA3X8QG","DP_3")</f>
        <v>0</v>
      </c>
      <c r="D54" s="24">
        <f>[1]!BexGetCellData("00O2TQ2O5Z7FJGG3WNRY95THN","00O2TQ2O5Z7FJGG3QVRA3X8QG","DP_3")</f>
        <v>0</v>
      </c>
      <c r="E54" s="24">
        <f>[1]!BexGetCellData("00O2TQ2O5Z7FJGG3WNRY95ZT7","00O2TQ2O5Z7FJGG3QVRA3X8QG","DP_3")</f>
        <v>0</v>
      </c>
      <c r="F54" s="24">
        <f>[1]!BexGetCellData("00O2TQ2O5Z7FN7M9BTIZBOZ6Y","00O2TQ2O5Z7FJGG3QVRA3X8QG","DP_3")</f>
        <v>0</v>
      </c>
      <c r="G54" s="24">
        <f>[1]!BexGetCellData("00O2TQ2O5Z7FJGG3WNRY96CGB","00O2TQ2O5Z7FJGG3QVRA3X8QG","DP_3")</f>
        <v>0</v>
      </c>
    </row>
    <row r="55" spans="1:7" x14ac:dyDescent="0.2">
      <c r="A55" s="23" t="str">
        <f>[1]!BexGetCellData("","00O2TQ2O5Z7FJGG3QVRA3XF20","DP_3")</f>
        <v>c2) Fondo Minero</v>
      </c>
      <c r="B55" s="24">
        <f>[1]!BexGetCellData("00O2TQ2O5Z7FJGG3WNRY95GUJ","00O2TQ2O5Z7FJGG3QVRA3XF20","DP_3")</f>
        <v>0</v>
      </c>
      <c r="C55" s="24">
        <f>[1]!BexGetCellData("00O2TQ2O5Z7FJGG3WNRY95N63","00O2TQ2O5Z7FJGG3QVRA3XF20","DP_3")</f>
        <v>0</v>
      </c>
      <c r="D55" s="24">
        <f>[1]!BexGetCellData("00O2TQ2O5Z7FJGG3WNRY95THN","00O2TQ2O5Z7FJGG3QVRA3XF20","DP_3")</f>
        <v>0</v>
      </c>
      <c r="E55" s="24">
        <f>[1]!BexGetCellData("00O2TQ2O5Z7FJGG3WNRY95ZT7","00O2TQ2O5Z7FJGG3QVRA3XF20","DP_3")</f>
        <v>0</v>
      </c>
      <c r="F55" s="24">
        <f>[1]!BexGetCellData("00O2TQ2O5Z7FN7M9BTIZBOZ6Y","00O2TQ2O5Z7FJGG3QVRA3XF20","DP_3")</f>
        <v>0</v>
      </c>
      <c r="G55" s="24">
        <f>[1]!BexGetCellData("00O2TQ2O5Z7FJGG3WNRY96CGB","00O2TQ2O5Z7FJGG3QVRA3XF20","DP_3")</f>
        <v>0</v>
      </c>
    </row>
    <row r="56" spans="1:7" x14ac:dyDescent="0.2">
      <c r="A56" s="23" t="str">
        <f>[1]!BexGetCellData("","00O2TQ2O5Z7FJGG3QVRA3XLDK","DP_3")</f>
        <v>D. Transferencias, Subsidios y Subvenciones, y Pensiones y J</v>
      </c>
      <c r="B56" s="24">
        <f>[1]!BexGetCellData("00O2TQ2O5Z7FJGG3WNRY95GUJ","00O2TQ2O5Z7FJGG3QVRA3XLDK","DP_3")</f>
        <v>0</v>
      </c>
      <c r="C56" s="24">
        <f>[1]!BexGetCellData("00O2TQ2O5Z7FJGG3WNRY95N63","00O2TQ2O5Z7FJGG3QVRA3XLDK","DP_3")</f>
        <v>0</v>
      </c>
      <c r="D56" s="24">
        <f>[1]!BexGetCellData("00O2TQ2O5Z7FJGG3WNRY95THN","00O2TQ2O5Z7FJGG3QVRA3XLDK","DP_3")</f>
        <v>0</v>
      </c>
      <c r="E56" s="24">
        <f>[1]!BexGetCellData("00O2TQ2O5Z7FJGG3WNRY95ZT7","00O2TQ2O5Z7FJGG3QVRA3XLDK","DP_3")</f>
        <v>0</v>
      </c>
      <c r="F56" s="24">
        <f>[1]!BexGetCellData("00O2TQ2O5Z7FN7M9BTIZBOZ6Y","00O2TQ2O5Z7FJGG3QVRA3XLDK","DP_3")</f>
        <v>0</v>
      </c>
      <c r="G56" s="24">
        <f>[1]!BexGetCellData("00O2TQ2O5Z7FJGG3WNRY96CGB","00O2TQ2O5Z7FJGG3QVRA3XLDK","DP_3")</f>
        <v>0</v>
      </c>
    </row>
    <row r="57" spans="1:7" x14ac:dyDescent="0.2">
      <c r="A57" s="23" t="str">
        <f>[1]!BexGetCellData("","00O2TQ2O5Z7FJGG3QVRA3XRP4","DP_3")</f>
        <v>E. Otras Transferencias Federales Etiquetadas</v>
      </c>
      <c r="B57" s="24">
        <f>[1]!BexGetCellData("00O2TQ2O5Z7FJGG3WNRY95GUJ","00O2TQ2O5Z7FJGG3QVRA3XRP4","DP_3")</f>
        <v>0</v>
      </c>
      <c r="C57" s="24">
        <f>[1]!BexGetCellData("00O2TQ2O5Z7FJGG3WNRY95N63","00O2TQ2O5Z7FJGG3QVRA3XRP4","DP_3")</f>
        <v>0</v>
      </c>
      <c r="D57" s="24">
        <f>[1]!BexGetCellData("00O2TQ2O5Z7FJGG3WNRY95THN","00O2TQ2O5Z7FJGG3QVRA3XRP4","DP_3")</f>
        <v>0</v>
      </c>
      <c r="E57" s="24">
        <f>[1]!BexGetCellData("00O2TQ2O5Z7FJGG3WNRY95ZT7","00O2TQ2O5Z7FJGG3QVRA3XRP4","DP_3")</f>
        <v>0</v>
      </c>
      <c r="F57" s="24">
        <f>[1]!BexGetCellData("00O2TQ2O5Z7FN7M9BTIZBOZ6Y","00O2TQ2O5Z7FJGG3QVRA3XRP4","DP_3")</f>
        <v>0</v>
      </c>
      <c r="G57" s="24">
        <f>[1]!BexGetCellData("00O2TQ2O5Z7FJGG3WNRY96CGB","00O2TQ2O5Z7FJGG3QVRA3XRP4","DP_3")</f>
        <v>0</v>
      </c>
    </row>
    <row r="58" spans="1:7" x14ac:dyDescent="0.2">
      <c r="A58" s="23" t="str">
        <f>[1]!BexGetCellData("","00O2TQ2O5Z7FJGG3QVRA3XY0O","DP_3")</f>
        <v>II. Total de Transferencias Federales Etiquetadas (II = A +</v>
      </c>
      <c r="B58" s="24">
        <f>[1]!BexGetCellData("00O2TQ2O5Z7FJGG3WNRY95GUJ","00O2TQ2O5Z7FJGG3QVRA3XY0O","DP_3")</f>
        <v>0</v>
      </c>
      <c r="C58" s="24">
        <f>[1]!BexGetCellData("00O2TQ2O5Z7FJGG3WNRY95N63","00O2TQ2O5Z7FJGG3QVRA3XY0O","DP_3")</f>
        <v>0</v>
      </c>
      <c r="D58" s="24">
        <f>[1]!BexGetCellData("00O2TQ2O5Z7FJGG3WNRY95THN","00O2TQ2O5Z7FJGG3QVRA3XY0O","DP_3")</f>
        <v>0</v>
      </c>
      <c r="E58" s="24">
        <f>[1]!BexGetCellData("00O2TQ2O5Z7FJGG3WNRY95ZT7","00O2TQ2O5Z7FJGG3QVRA3XY0O","DP_3")</f>
        <v>0</v>
      </c>
      <c r="F58" s="24">
        <f>[1]!BexGetCellData("00O2TQ2O5Z7FN7M9BTIZBOZ6Y","00O2TQ2O5Z7FJGG3QVRA3XY0O","DP_3")</f>
        <v>0</v>
      </c>
      <c r="G58" s="24">
        <f>[1]!BexGetCellData("00O2TQ2O5Z7FJGG3WNRY96CGB","00O2TQ2O5Z7FJGG3QVRA3XY0O","DP_3")</f>
        <v>0</v>
      </c>
    </row>
    <row r="59" spans="1:7" x14ac:dyDescent="0.2">
      <c r="A59" s="23" t="str">
        <f>[1]!BexGetCellData("","00O2TQ2O5Z7FJGG3QVRA3Y4C8","DP_3")</f>
        <v>III. Ingresos Derivados de Financiamientos (III = A)</v>
      </c>
      <c r="B59" s="24">
        <f>[1]!BexGetCellData("00O2TQ2O5Z7FJGG3WNRY95GUJ","00O2TQ2O5Z7FJGG3QVRA3Y4C8","DP_3")</f>
        <v>0</v>
      </c>
      <c r="C59" s="24">
        <f>[1]!BexGetCellData("00O2TQ2O5Z7FJGG3WNRY95N63","00O2TQ2O5Z7FJGG3QVRA3Y4C8","DP_3")</f>
        <v>0</v>
      </c>
      <c r="D59" s="24">
        <f>[1]!BexGetCellData("00O2TQ2O5Z7FJGG3WNRY95THN","00O2TQ2O5Z7FJGG3QVRA3Y4C8","DP_3")</f>
        <v>0</v>
      </c>
      <c r="E59" s="24">
        <f>[1]!BexGetCellData("00O2TQ2O5Z7FJGG3WNRY95ZT7","00O2TQ2O5Z7FJGG3QVRA3Y4C8","DP_3")</f>
        <v>0</v>
      </c>
      <c r="F59" s="24">
        <f>[1]!BexGetCellData("00O2TQ2O5Z7FN7M9BTIZBOZ6Y","00O2TQ2O5Z7FJGG3QVRA3Y4C8","DP_3")</f>
        <v>0</v>
      </c>
      <c r="G59" s="24">
        <f>[1]!BexGetCellData("00O2TQ2O5Z7FJGG3WNRY96CGB","00O2TQ2O5Z7FJGG3QVRA3Y4C8","DP_3")</f>
        <v>0</v>
      </c>
    </row>
    <row r="60" spans="1:7" x14ac:dyDescent="0.2">
      <c r="A60" s="23" t="str">
        <f>[1]!BexGetCellData("","00O2TQ2O5Z7FJGG3QVRA3YANS","DP_3")</f>
        <v>A. Ingresos Derivados de Financiamientos</v>
      </c>
      <c r="B60" s="24">
        <f>[1]!BexGetCellData("00O2TQ2O5Z7FJGG3WNRY95GUJ","00O2TQ2O5Z7FJGG3QVRA3YANS","DP_3")</f>
        <v>0</v>
      </c>
      <c r="C60" s="24">
        <f>[1]!BexGetCellData("00O2TQ2O5Z7FJGG3WNRY95N63","00O2TQ2O5Z7FJGG3QVRA3YANS","DP_3")</f>
        <v>0</v>
      </c>
      <c r="D60" s="24">
        <f>[1]!BexGetCellData("00O2TQ2O5Z7FJGG3WNRY95THN","00O2TQ2O5Z7FJGG3QVRA3YANS","DP_3")</f>
        <v>0</v>
      </c>
      <c r="E60" s="24">
        <f>[1]!BexGetCellData("00O2TQ2O5Z7FJGG3WNRY95ZT7","00O2TQ2O5Z7FJGG3QVRA3YANS","DP_3")</f>
        <v>0</v>
      </c>
      <c r="F60" s="24">
        <f>[1]!BexGetCellData("00O2TQ2O5Z7FN7M9BTIZBOZ6Y","00O2TQ2O5Z7FJGG3QVRA3YANS","DP_3")</f>
        <v>0</v>
      </c>
      <c r="G60" s="24">
        <f>[1]!BexGetCellData("00O2TQ2O5Z7FJGG3WNRY96CGB","00O2TQ2O5Z7FJGG3QVRA3YANS","DP_3")</f>
        <v>0</v>
      </c>
    </row>
    <row r="61" spans="1:7" x14ac:dyDescent="0.2">
      <c r="A61" s="23" t="str">
        <f>[1]!BexGetCellData("","00O2TQ2O5Z7FJGG3QVRA3YGZC","DP_3")</f>
        <v>IV. Total de Ingresos (IV = I + II + III)</v>
      </c>
      <c r="B61" s="24">
        <f>[1]!BexGetCellData("00O2TQ2O5Z7FJGG3WNRY95GUJ","00O2TQ2O5Z7FJGG3QVRA3YGZC","DP_3")</f>
        <v>0</v>
      </c>
      <c r="C61" s="24">
        <f>[1]!BexGetCellData("00O2TQ2O5Z7FJGG3WNRY95N63","00O2TQ2O5Z7FJGG3QVRA3YGZC","DP_3")</f>
        <v>0</v>
      </c>
      <c r="D61" s="24">
        <f>[1]!BexGetCellData("00O2TQ2O5Z7FJGG3WNRY95THN","00O2TQ2O5Z7FJGG3QVRA3YGZC","DP_3")</f>
        <v>0</v>
      </c>
      <c r="E61" s="24">
        <f>[1]!BexGetCellData("00O2TQ2O5Z7FJGG3WNRY95ZT7","00O2TQ2O5Z7FJGG3QVRA3YGZC","DP_3")</f>
        <v>0</v>
      </c>
      <c r="F61" s="24">
        <f>[1]!BexGetCellData("00O2TQ2O5Z7FN7M9BTIZBOZ6Y","00O2TQ2O5Z7FJGG3QVRA3YGZC","DP_3")</f>
        <v>0</v>
      </c>
      <c r="G61" s="24">
        <f>[1]!BexGetCellData("00O2TQ2O5Z7FJGG3WNRY96CGB","00O2TQ2O5Z7FJGG3QVRA3YGZC","DP_3")</f>
        <v>0</v>
      </c>
    </row>
    <row r="62" spans="1:7" x14ac:dyDescent="0.2">
      <c r="A62" s="23" t="str">
        <f>[1]!BexGetCellData("","00O2TQ2O5Z7FJGG3QVRA3YNAW","DP_3")</f>
        <v>Datos Informativos</v>
      </c>
      <c r="B62" s="24">
        <f>[1]!BexGetCellData("00O2TQ2O5Z7FJGG3WNRY95GUJ","00O2TQ2O5Z7FJGG3QVRA3YNAW","DP_3")</f>
        <v>0</v>
      </c>
      <c r="C62" s="24">
        <f>[1]!BexGetCellData("00O2TQ2O5Z7FJGG3WNRY95N63","00O2TQ2O5Z7FJGG3QVRA3YNAW","DP_3")</f>
        <v>0</v>
      </c>
      <c r="D62" s="24">
        <f>[1]!BexGetCellData("00O2TQ2O5Z7FJGG3WNRY95THN","00O2TQ2O5Z7FJGG3QVRA3YNAW","DP_3")</f>
        <v>0</v>
      </c>
      <c r="E62" s="24">
        <f>[1]!BexGetCellData("00O2TQ2O5Z7FJGG3WNRY95ZT7","00O2TQ2O5Z7FJGG3QVRA3YNAW","DP_3")</f>
        <v>0</v>
      </c>
      <c r="F62" s="24">
        <f>[1]!BexGetCellData("00O2TQ2O5Z7FN7M9BTIZBOZ6Y","00O2TQ2O5Z7FJGG3QVRA3YNAW","DP_3")</f>
        <v>0</v>
      </c>
      <c r="G62" s="24">
        <f>[1]!BexGetCellData("00O2TQ2O5Z7FJGG3WNRY96CGB","00O2TQ2O5Z7FJGG3QVRA3YNAW","DP_3")</f>
        <v>0</v>
      </c>
    </row>
    <row r="63" spans="1:7" x14ac:dyDescent="0.2">
      <c r="A63" s="23" t="str">
        <f>[1]!BexGetCellData("","00O2TQ2O5Z7FJGG3QVRA3YTMG","DP_3")</f>
        <v>'1. Ingresos Derivados de Financiamientos con Fuente de Pago</v>
      </c>
      <c r="B63" s="24">
        <f>[1]!BexGetCellData("00O2TQ2O5Z7FJGG3WNRY95GUJ","00O2TQ2O5Z7FJGG3QVRA3YTMG","DP_3")</f>
        <v>0</v>
      </c>
      <c r="C63" s="24">
        <f>[1]!BexGetCellData("00O2TQ2O5Z7FJGG3WNRY95N63","00O2TQ2O5Z7FJGG3QVRA3YTMG","DP_3")</f>
        <v>0</v>
      </c>
      <c r="D63" s="24">
        <f>[1]!BexGetCellData("00O2TQ2O5Z7FJGG3WNRY95THN","00O2TQ2O5Z7FJGG3QVRA3YTMG","DP_3")</f>
        <v>0</v>
      </c>
      <c r="E63" s="24">
        <f>[1]!BexGetCellData("00O2TQ2O5Z7FJGG3WNRY95ZT7","00O2TQ2O5Z7FJGG3QVRA3YTMG","DP_3")</f>
        <v>0</v>
      </c>
      <c r="F63" s="24">
        <f>[1]!BexGetCellData("00O2TQ2O5Z7FN7M9BTIZBOZ6Y","00O2TQ2O5Z7FJGG3QVRA3YTMG","DP_3")</f>
        <v>0</v>
      </c>
      <c r="G63" s="24">
        <f>[1]!BexGetCellData("00O2TQ2O5Z7FJGG3WNRY96CGB","00O2TQ2O5Z7FJGG3QVRA3YTMG","DP_3")</f>
        <v>0</v>
      </c>
    </row>
    <row r="64" spans="1:7" x14ac:dyDescent="0.2">
      <c r="A64" s="23" t="str">
        <f>[1]!BexGetCellData("","00O2TQ2O5Z7FJGG3QVRA3YZY0","DP_3")</f>
        <v>'2. Ingresos Derivados de Financiamientos con Fuente de Pago</v>
      </c>
      <c r="B64" s="24">
        <f>[1]!BexGetCellData("00O2TQ2O5Z7FJGG3WNRY95GUJ","00O2TQ2O5Z7FJGG3QVRA3YZY0","DP_3")</f>
        <v>0</v>
      </c>
      <c r="C64" s="24">
        <f>[1]!BexGetCellData("00O2TQ2O5Z7FJGG3WNRY95N63","00O2TQ2O5Z7FJGG3QVRA3YZY0","DP_3")</f>
        <v>0</v>
      </c>
      <c r="D64" s="24">
        <f>[1]!BexGetCellData("00O2TQ2O5Z7FJGG3WNRY95THN","00O2TQ2O5Z7FJGG3QVRA3YZY0","DP_3")</f>
        <v>0</v>
      </c>
      <c r="E64" s="24">
        <f>[1]!BexGetCellData("00O2TQ2O5Z7FJGG3WNRY95ZT7","00O2TQ2O5Z7FJGG3QVRA3YZY0","DP_3")</f>
        <v>0</v>
      </c>
      <c r="F64" s="24">
        <f>[1]!BexGetCellData("00O2TQ2O5Z7FN7M9BTIZBOZ6Y","00O2TQ2O5Z7FJGG3QVRA3YZY0","DP_3")</f>
        <v>0</v>
      </c>
      <c r="G64" s="24">
        <f>[1]!BexGetCellData("00O2TQ2O5Z7FJGG3WNRY96CGB","00O2TQ2O5Z7FJGG3QVRA3YZY0","DP_3")</f>
        <v>0</v>
      </c>
    </row>
    <row r="65" spans="1:7" x14ac:dyDescent="0.2">
      <c r="A65" s="23" t="str">
        <f>[1]!BexGetCellData("","00O2TQ2O5Z7FJGG3QVRA3Z69K","DP_3")</f>
        <v>'3. Ingresos Derivados de Financiamientos (3 = 1 + 2)</v>
      </c>
      <c r="B65" s="24">
        <f>[1]!BexGetCellData("00O2TQ2O5Z7FJGG3WNRY95GUJ","00O2TQ2O5Z7FJGG3QVRA3Z69K","DP_3")</f>
        <v>0</v>
      </c>
      <c r="C65" s="24">
        <f>[1]!BexGetCellData("00O2TQ2O5Z7FJGG3WNRY95N63","00O2TQ2O5Z7FJGG3QVRA3Z69K","DP_3")</f>
        <v>0</v>
      </c>
      <c r="D65" s="24">
        <f>[1]!BexGetCellData("00O2TQ2O5Z7FJGG3WNRY95THN","00O2TQ2O5Z7FJGG3QVRA3Z69K","DP_3")</f>
        <v>0</v>
      </c>
      <c r="E65" s="24">
        <f>[1]!BexGetCellData("00O2TQ2O5Z7FJGG3WNRY95ZT7","00O2TQ2O5Z7FJGG3QVRA3Z69K","DP_3")</f>
        <v>0</v>
      </c>
      <c r="F65" s="24">
        <f>[1]!BexGetCellData("00O2TQ2O5Z7FN7M9BTIZBOZ6Y","00O2TQ2O5Z7FJGG3QVRA3Z69K","DP_3")</f>
        <v>0</v>
      </c>
      <c r="G65" s="24">
        <f>[1]!BexGetCellData("00O2TQ2O5Z7FJGG3WNRY96CGB","00O2TQ2O5Z7FJGG3QVRA3Z69K","DP_3")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1FB019-6EF5-47F5-A7CC-14C7BCD07584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Analítico de Ingresos </vt:lpstr>
      <vt:lpstr>fuente1</vt:lpstr>
      <vt:lpstr>'Analítico de Ingresos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Estado Analítico de Ingresos Detallado - LDF</dc:title>
  <dc:creator>steel</dc:creator>
  <cp:lastModifiedBy>sfa</cp:lastModifiedBy>
  <cp:lastPrinted>2019-10-30T01:07:32Z</cp:lastPrinted>
  <dcterms:created xsi:type="dcterms:W3CDTF">2017-07-25T17:09:34Z</dcterms:created>
  <dcterms:modified xsi:type="dcterms:W3CDTF">2019-10-30T21:00:39Z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Estado Analítico de Ingresos 30092019.xlsx</vt:lpwstr>
  </property>
  <property fmtid="{D5CDD505-2E9C-101B-9397-08002B2CF9AE}" pid="3" name="BExAnalyzer_Activesheet">
    <vt:lpwstr>Analítico de Ingresos </vt:lpwstr>
  </property>
</Properties>
</file>